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LANILHAS DE LICITAÇÃO\Nova pasta\planilhas com composição\"/>
    </mc:Choice>
  </mc:AlternateContent>
  <bookViews>
    <workbookView xWindow="0" yWindow="0" windowWidth="23040" windowHeight="9336" tabRatio="500" activeTab="1"/>
  </bookViews>
  <sheets>
    <sheet name="MANUT__LOTE_04" sheetId="1" r:id="rId1"/>
    <sheet name="Planilha1" sheetId="2" r:id="rId2"/>
  </sheets>
  <definedNames>
    <definedName name="__xlfn_BAHTTEXT">"NA()"</definedName>
    <definedName name="_xlnm.Print_Area" localSheetId="0">MANUT__LOTE_04!$A$1:$H$157</definedName>
    <definedName name="Excel_BuiltIn__FilterDatabase" localSheetId="0">MANUT__LOTE_04!$A$20:$G$20</definedName>
    <definedName name="Excel_BuiltIn_Print_Area" localSheetId="0">MANUT__LOTE_04!$A$1:$G$340</definedName>
    <definedName name="Print_Area_0" localSheetId="0">MANUT__LOTE_04!$A$1:$H$158</definedName>
    <definedName name="Print_Titles_0" localSheetId="0">MANUT__LOTE_04!#REF!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1" i="2" l="1"/>
  <c r="J50" i="2"/>
  <c r="J49" i="2"/>
  <c r="J48" i="2"/>
  <c r="I47" i="2" s="1"/>
  <c r="J47" i="2" s="1"/>
  <c r="J44" i="2"/>
  <c r="J43" i="2"/>
  <c r="J42" i="2"/>
  <c r="I39" i="2" s="1"/>
  <c r="J39" i="2" s="1"/>
  <c r="J41" i="2"/>
  <c r="J40" i="2"/>
  <c r="J36" i="2"/>
  <c r="J35" i="2"/>
  <c r="I34" i="2"/>
  <c r="J34" i="2" s="1"/>
  <c r="J31" i="2"/>
  <c r="J30" i="2"/>
  <c r="J29" i="2"/>
  <c r="I29" i="2"/>
  <c r="J26" i="2"/>
  <c r="J25" i="2"/>
  <c r="J24" i="2"/>
  <c r="I23" i="2" s="1"/>
  <c r="J23" i="2" s="1"/>
  <c r="J20" i="2"/>
  <c r="J19" i="2"/>
  <c r="I19" i="2"/>
  <c r="J15" i="2"/>
  <c r="I14" i="2"/>
  <c r="J14" i="2" s="1"/>
  <c r="J11" i="2"/>
  <c r="J10" i="2"/>
  <c r="J7" i="2"/>
  <c r="J6" i="2"/>
  <c r="I6" i="2"/>
  <c r="E155" i="1"/>
  <c r="G155" i="1" s="1"/>
  <c r="E153" i="1"/>
  <c r="G153" i="1" s="1"/>
  <c r="H153" i="1" s="1"/>
  <c r="E152" i="1"/>
  <c r="G152" i="1" s="1"/>
  <c r="G150" i="1"/>
  <c r="H150" i="1" s="1"/>
  <c r="G149" i="1"/>
  <c r="H149" i="1" s="1"/>
  <c r="E149" i="1"/>
  <c r="E148" i="1"/>
  <c r="G148" i="1" s="1"/>
  <c r="H148" i="1" s="1"/>
  <c r="E147" i="1"/>
  <c r="G147" i="1" s="1"/>
  <c r="H147" i="1" s="1"/>
  <c r="E146" i="1"/>
  <c r="G146" i="1" s="1"/>
  <c r="G144" i="1"/>
  <c r="H144" i="1" s="1"/>
  <c r="G143" i="1"/>
  <c r="H143" i="1" s="1"/>
  <c r="G142" i="1"/>
  <c r="H142" i="1" s="1"/>
  <c r="G141" i="1"/>
  <c r="H141" i="1" s="1"/>
  <c r="G139" i="1"/>
  <c r="H139" i="1" s="1"/>
  <c r="G138" i="1"/>
  <c r="H138" i="1" s="1"/>
  <c r="G137" i="1"/>
  <c r="H137" i="1" s="1"/>
  <c r="E136" i="1"/>
  <c r="G136" i="1" s="1"/>
  <c r="H133" i="1"/>
  <c r="G133" i="1"/>
  <c r="G132" i="1"/>
  <c r="H132" i="1" s="1"/>
  <c r="H131" i="1"/>
  <c r="G131" i="1"/>
  <c r="E130" i="1"/>
  <c r="G130" i="1" s="1"/>
  <c r="H130" i="1" s="1"/>
  <c r="E129" i="1"/>
  <c r="G129" i="1" s="1"/>
  <c r="H129" i="1" s="1"/>
  <c r="E128" i="1"/>
  <c r="G128" i="1" s="1"/>
  <c r="H128" i="1" s="1"/>
  <c r="G127" i="1"/>
  <c r="H127" i="1" s="1"/>
  <c r="E127" i="1"/>
  <c r="E126" i="1"/>
  <c r="G126" i="1" s="1"/>
  <c r="H126" i="1" s="1"/>
  <c r="G125" i="1"/>
  <c r="H125" i="1" s="1"/>
  <c r="E125" i="1"/>
  <c r="E124" i="1"/>
  <c r="G124" i="1" s="1"/>
  <c r="H124" i="1" s="1"/>
  <c r="G123" i="1"/>
  <c r="H123" i="1" s="1"/>
  <c r="E123" i="1"/>
  <c r="E122" i="1"/>
  <c r="G122" i="1" s="1"/>
  <c r="H122" i="1" s="1"/>
  <c r="E121" i="1"/>
  <c r="G121" i="1" s="1"/>
  <c r="H121" i="1" s="1"/>
  <c r="E120" i="1"/>
  <c r="G120" i="1" s="1"/>
  <c r="H120" i="1" s="1"/>
  <c r="G119" i="1"/>
  <c r="H119" i="1" s="1"/>
  <c r="E119" i="1"/>
  <c r="E118" i="1"/>
  <c r="G118" i="1" s="1"/>
  <c r="H118" i="1" s="1"/>
  <c r="G117" i="1"/>
  <c r="H117" i="1" s="1"/>
  <c r="E117" i="1"/>
  <c r="E116" i="1"/>
  <c r="G116" i="1" s="1"/>
  <c r="H116" i="1" s="1"/>
  <c r="G115" i="1"/>
  <c r="H115" i="1" s="1"/>
  <c r="E115" i="1"/>
  <c r="E114" i="1"/>
  <c r="G114" i="1" s="1"/>
  <c r="H114" i="1" s="1"/>
  <c r="E113" i="1"/>
  <c r="G113" i="1" s="1"/>
  <c r="H113" i="1" s="1"/>
  <c r="E112" i="1"/>
  <c r="G112" i="1" s="1"/>
  <c r="H112" i="1" s="1"/>
  <c r="G111" i="1"/>
  <c r="E111" i="1"/>
  <c r="H109" i="1"/>
  <c r="G109" i="1"/>
  <c r="H108" i="1"/>
  <c r="G108" i="1"/>
  <c r="G107" i="1" s="1"/>
  <c r="E105" i="1"/>
  <c r="G105" i="1" s="1"/>
  <c r="H105" i="1" s="1"/>
  <c r="G104" i="1"/>
  <c r="G103" i="1" s="1"/>
  <c r="E104" i="1"/>
  <c r="E101" i="1"/>
  <c r="G101" i="1" s="1"/>
  <c r="H101" i="1" s="1"/>
  <c r="E100" i="1"/>
  <c r="G100" i="1" s="1"/>
  <c r="H100" i="1" s="1"/>
  <c r="E99" i="1"/>
  <c r="G99" i="1" s="1"/>
  <c r="H99" i="1" s="1"/>
  <c r="G98" i="1"/>
  <c r="H98" i="1" s="1"/>
  <c r="E98" i="1"/>
  <c r="E97" i="1"/>
  <c r="G97" i="1" s="1"/>
  <c r="H97" i="1" s="1"/>
  <c r="G96" i="1"/>
  <c r="H96" i="1" s="1"/>
  <c r="E96" i="1"/>
  <c r="H95" i="1"/>
  <c r="E95" i="1"/>
  <c r="G95" i="1" s="1"/>
  <c r="G94" i="1"/>
  <c r="H94" i="1" s="1"/>
  <c r="E94" i="1"/>
  <c r="E93" i="1"/>
  <c r="G93" i="1" s="1"/>
  <c r="H93" i="1" s="1"/>
  <c r="E92" i="1"/>
  <c r="G92" i="1" s="1"/>
  <c r="H92" i="1" s="1"/>
  <c r="H91" i="1"/>
  <c r="G91" i="1"/>
  <c r="H90" i="1"/>
  <c r="G90" i="1"/>
  <c r="E89" i="1"/>
  <c r="G89" i="1" s="1"/>
  <c r="H89" i="1" s="1"/>
  <c r="G88" i="1"/>
  <c r="H88" i="1" s="1"/>
  <c r="E88" i="1"/>
  <c r="E87" i="1"/>
  <c r="G87" i="1" s="1"/>
  <c r="H87" i="1" s="1"/>
  <c r="E86" i="1"/>
  <c r="G86" i="1" s="1"/>
  <c r="H86" i="1" s="1"/>
  <c r="E85" i="1"/>
  <c r="G85" i="1" s="1"/>
  <c r="H85" i="1" s="1"/>
  <c r="G84" i="1"/>
  <c r="H84" i="1" s="1"/>
  <c r="E84" i="1"/>
  <c r="E83" i="1"/>
  <c r="G83" i="1" s="1"/>
  <c r="H83" i="1" s="1"/>
  <c r="G82" i="1"/>
  <c r="H82" i="1" s="1"/>
  <c r="E82" i="1"/>
  <c r="H81" i="1"/>
  <c r="E81" i="1"/>
  <c r="G81" i="1" s="1"/>
  <c r="G80" i="1"/>
  <c r="H80" i="1" s="1"/>
  <c r="E80" i="1"/>
  <c r="E79" i="1"/>
  <c r="G79" i="1" s="1"/>
  <c r="H79" i="1" s="1"/>
  <c r="E78" i="1"/>
  <c r="G78" i="1" s="1"/>
  <c r="H78" i="1" s="1"/>
  <c r="E77" i="1"/>
  <c r="G77" i="1" s="1"/>
  <c r="H77" i="1" s="1"/>
  <c r="G76" i="1"/>
  <c r="E76" i="1"/>
  <c r="E73" i="1"/>
  <c r="G73" i="1" s="1"/>
  <c r="H73" i="1" s="1"/>
  <c r="E72" i="1"/>
  <c r="G72" i="1" s="1"/>
  <c r="H72" i="1" s="1"/>
  <c r="E71" i="1"/>
  <c r="G71" i="1" s="1"/>
  <c r="H71" i="1" s="1"/>
  <c r="E69" i="1"/>
  <c r="G69" i="1" s="1"/>
  <c r="H69" i="1" s="1"/>
  <c r="E68" i="1"/>
  <c r="G68" i="1" s="1"/>
  <c r="H68" i="1" s="1"/>
  <c r="G67" i="1"/>
  <c r="H67" i="1" s="1"/>
  <c r="E67" i="1"/>
  <c r="E66" i="1"/>
  <c r="G66" i="1" s="1"/>
  <c r="H66" i="1" s="1"/>
  <c r="G65" i="1"/>
  <c r="H65" i="1" s="1"/>
  <c r="E65" i="1"/>
  <c r="E64" i="1"/>
  <c r="G64" i="1" s="1"/>
  <c r="H64" i="1" s="1"/>
  <c r="G63" i="1"/>
  <c r="H63" i="1" s="1"/>
  <c r="E63" i="1"/>
  <c r="H62" i="1"/>
  <c r="E62" i="1"/>
  <c r="G62" i="1" s="1"/>
  <c r="G59" i="1"/>
  <c r="H59" i="1" s="1"/>
  <c r="E59" i="1"/>
  <c r="E58" i="1"/>
  <c r="G58" i="1" s="1"/>
  <c r="H58" i="1" s="1"/>
  <c r="G57" i="1"/>
  <c r="H57" i="1" s="1"/>
  <c r="E57" i="1"/>
  <c r="H56" i="1"/>
  <c r="E56" i="1"/>
  <c r="G56" i="1" s="1"/>
  <c r="E55" i="1"/>
  <c r="G55" i="1" s="1"/>
  <c r="H55" i="1" s="1"/>
  <c r="E54" i="1"/>
  <c r="G54" i="1" s="1"/>
  <c r="H54" i="1" s="1"/>
  <c r="G51" i="1"/>
  <c r="H51" i="1" s="1"/>
  <c r="E51" i="1"/>
  <c r="E50" i="1"/>
  <c r="G50" i="1" s="1"/>
  <c r="H50" i="1" s="1"/>
  <c r="E49" i="1"/>
  <c r="G49" i="1" s="1"/>
  <c r="H49" i="1" s="1"/>
  <c r="E48" i="1"/>
  <c r="G48" i="1" s="1"/>
  <c r="H48" i="1" s="1"/>
  <c r="G47" i="1"/>
  <c r="H47" i="1" s="1"/>
  <c r="E47" i="1"/>
  <c r="E46" i="1"/>
  <c r="G46" i="1" s="1"/>
  <c r="H46" i="1" s="1"/>
  <c r="G45" i="1"/>
  <c r="H45" i="1" s="1"/>
  <c r="E45" i="1"/>
  <c r="H44" i="1"/>
  <c r="E44" i="1"/>
  <c r="G44" i="1" s="1"/>
  <c r="G43" i="1"/>
  <c r="H43" i="1" s="1"/>
  <c r="E43" i="1"/>
  <c r="E42" i="1"/>
  <c r="G42" i="1" s="1"/>
  <c r="H42" i="1" s="1"/>
  <c r="E41" i="1"/>
  <c r="G41" i="1" s="1"/>
  <c r="H41" i="1" s="1"/>
  <c r="E40" i="1"/>
  <c r="G40" i="1" s="1"/>
  <c r="H40" i="1" s="1"/>
  <c r="G39" i="1"/>
  <c r="H39" i="1" s="1"/>
  <c r="E39" i="1"/>
  <c r="E38" i="1"/>
  <c r="G38" i="1" s="1"/>
  <c r="H38" i="1" s="1"/>
  <c r="G36" i="1"/>
  <c r="H36" i="1" s="1"/>
  <c r="E36" i="1"/>
  <c r="E35" i="1"/>
  <c r="G35" i="1" s="1"/>
  <c r="H35" i="1" s="1"/>
  <c r="G34" i="1"/>
  <c r="H34" i="1" s="1"/>
  <c r="E34" i="1"/>
  <c r="E33" i="1"/>
  <c r="G33" i="1" s="1"/>
  <c r="H33" i="1" s="1"/>
  <c r="G32" i="1"/>
  <c r="H32" i="1" s="1"/>
  <c r="E32" i="1"/>
  <c r="E31" i="1"/>
  <c r="G31" i="1" s="1"/>
  <c r="H31" i="1" s="1"/>
  <c r="E30" i="1"/>
  <c r="G30" i="1" s="1"/>
  <c r="H30" i="1" s="1"/>
  <c r="E29" i="1"/>
  <c r="G29" i="1" s="1"/>
  <c r="H29" i="1" s="1"/>
  <c r="G28" i="1"/>
  <c r="H28" i="1" s="1"/>
  <c r="E28" i="1"/>
  <c r="E27" i="1"/>
  <c r="G27" i="1" s="1"/>
  <c r="H27" i="1" s="1"/>
  <c r="G26" i="1"/>
  <c r="E26" i="1"/>
  <c r="E23" i="1"/>
  <c r="G23" i="1" s="1"/>
  <c r="H23" i="1" s="1"/>
  <c r="G22" i="1"/>
  <c r="H22" i="1" s="1"/>
  <c r="G135" i="1" l="1"/>
  <c r="H136" i="1"/>
  <c r="H146" i="1"/>
  <c r="G145" i="1"/>
  <c r="H145" i="1" s="1"/>
  <c r="H155" i="1"/>
  <c r="G154" i="1"/>
  <c r="G61" i="1"/>
  <c r="G110" i="1"/>
  <c r="H110" i="1" s="1"/>
  <c r="G75" i="1"/>
  <c r="H76" i="1"/>
  <c r="H107" i="1"/>
  <c r="H26" i="1"/>
  <c r="G25" i="1"/>
  <c r="G53" i="1"/>
  <c r="G70" i="1"/>
  <c r="H70" i="1" s="1"/>
  <c r="H152" i="1"/>
  <c r="G151" i="1"/>
  <c r="H151" i="1" s="1"/>
  <c r="G102" i="1"/>
  <c r="H102" i="1" s="1"/>
  <c r="H103" i="1"/>
  <c r="G37" i="1"/>
  <c r="H37" i="1" s="1"/>
  <c r="G140" i="1"/>
  <c r="H140" i="1" s="1"/>
  <c r="H104" i="1"/>
  <c r="H111" i="1"/>
  <c r="G24" i="1" l="1"/>
  <c r="H24" i="1" s="1"/>
  <c r="H25" i="1"/>
  <c r="H154" i="1"/>
  <c r="G60" i="1"/>
  <c r="H60" i="1" s="1"/>
  <c r="H61" i="1"/>
  <c r="G106" i="1"/>
  <c r="H106" i="1" s="1"/>
  <c r="H53" i="1"/>
  <c r="G52" i="1"/>
  <c r="H52" i="1" s="1"/>
  <c r="G74" i="1"/>
  <c r="H74" i="1" s="1"/>
  <c r="H75" i="1"/>
  <c r="H135" i="1"/>
  <c r="G134" i="1"/>
  <c r="H134" i="1" s="1"/>
  <c r="H157" i="1" l="1"/>
  <c r="H21" i="1" s="1"/>
  <c r="H156" i="1"/>
</calcChain>
</file>

<file path=xl/sharedStrings.xml><?xml version="1.0" encoding="utf-8"?>
<sst xmlns="http://schemas.openxmlformats.org/spreadsheetml/2006/main" count="751" uniqueCount="440">
  <si>
    <t>MANUTENÇÃO PREDIAL PREVENTIVA E CORRETIVA DOS NÚCLEO DA DEFENSORIAS PÚBLICAS DO ESTADO DO MARANHÃO
LOTE 04</t>
  </si>
  <si>
    <t>LOCAL</t>
  </si>
  <si>
    <t>DEFENSORIA PÚBLICA REGIONAL DE AÇAILÂNDIA</t>
  </si>
  <si>
    <t>ENDEREÇO</t>
  </si>
  <si>
    <t>Av. Santa Luzia nº 115, Vila São Francisco, Açailândia - MA</t>
  </si>
  <si>
    <t>DEFENSORIA PÚBLICA REGIONAL DE BALSAS</t>
  </si>
  <si>
    <t>Rua Silva Jardim, nº 429, bairro Potosi - Centro, Balsas - MA</t>
  </si>
  <si>
    <t>DEFENSORIA PÚBLICA REGIONAL DE BARRA DO CORDA</t>
  </si>
  <si>
    <t>Av. Mis Perrin Smith, Nº 16 - Bairro Vila Canadá, Barra do Corda - MA</t>
  </si>
  <si>
    <t>DEFENSORIA PÚBLICA REGIONAL DE BURITICUPU</t>
  </si>
  <si>
    <t>Rua da Liberdade, Nº 505, Centro , Buriticupu/MA</t>
  </si>
  <si>
    <t>DEFENSORIA PÚBLICA REGIONAL DE CAROLINA</t>
  </si>
  <si>
    <t>Av. Elias Barros, nº 1465 - Alto da Colina, Carolina - MA</t>
  </si>
  <si>
    <t>DEFENSORIA PÚBLICA REGIONAL DE IMPERATRIZ</t>
  </si>
  <si>
    <t>Av. Getúlio Vargas, nº 1.587, Centro, Imperatriz-MA</t>
  </si>
  <si>
    <t>DEFENSORIA PÚBLICA REGIONAL DE PASTONS BONS</t>
  </si>
  <si>
    <t>Avenida Domingos Sertão, nº 2.095. Centro</t>
  </si>
  <si>
    <t>DEFENSORIA PÚBLICA REGIONAL DE PRESIDENTE DUTRA</t>
  </si>
  <si>
    <t>Rua Dr. Paulo Ramos, nº 94 - Centro</t>
  </si>
  <si>
    <t>SINAPI DEZ/2021 - ORSE DEZ/2021 – SBC-  MARANHÃO SBC - 02/2022 - SLS - São Luís - CONSULTA DE MERCADO FEV/2022</t>
  </si>
  <si>
    <t>ITEM</t>
  </si>
  <si>
    <t>CÓD. SINAPI/CONS. MERCADO</t>
  </si>
  <si>
    <t>DISCRIMINAÇÃO</t>
  </si>
  <si>
    <t>UN</t>
  </si>
  <si>
    <t>QUANT. MÁX.</t>
  </si>
  <si>
    <t>P. UNIT.</t>
  </si>
  <si>
    <t>TOTAL</t>
  </si>
  <si>
    <t>VALOR COM BDI</t>
  </si>
  <si>
    <t>SUB TOTAL (com BDI %)</t>
  </si>
  <si>
    <t>1.0</t>
  </si>
  <si>
    <t>SERVIÇOS PRELIMINARES</t>
  </si>
  <si>
    <t>1.1.1</t>
  </si>
  <si>
    <t>C.M.</t>
  </si>
  <si>
    <t>TAXA DO CREA PARA OBRAS ACIMA R$ 15.000</t>
  </si>
  <si>
    <t>2.0</t>
  </si>
  <si>
    <t>PISOS E PAREDES</t>
  </si>
  <si>
    <t>2.1</t>
  </si>
  <si>
    <t>PISO</t>
  </si>
  <si>
    <t>2.1.1</t>
  </si>
  <si>
    <t>74245/001</t>
  </si>
  <si>
    <t>PINTURA ACRILICA EM PISO CIMENTADO DUAS DEMAOS NA COR CINZA</t>
  </si>
  <si>
    <t>M2</t>
  </si>
  <si>
    <t>2.1.2</t>
  </si>
  <si>
    <t>COMP. PRÓPRIA (DPE-MA)</t>
  </si>
  <si>
    <t>REJUNTAMENTO DE PISO CERÂMICO NA COR PRETA</t>
  </si>
  <si>
    <t>2.1.3</t>
  </si>
  <si>
    <t>RETIRADA DE REVESTIMENTO CERÂMICO 30X30 CM</t>
  </si>
  <si>
    <t>2.1.4</t>
  </si>
  <si>
    <t>87247</t>
  </si>
  <si>
    <t>REVESTIMENTO CERÂMICO PARA PISO COM PLACAS TIPO GRÊS DE DIMENSÕES 35X35 CM APLICADA EM AMBIENTES DE ÁREA ENTRE 5 M2 E 10 M2. AF_06/2014</t>
  </si>
  <si>
    <t>2.1.5</t>
  </si>
  <si>
    <t>02180/ORSE</t>
  </si>
  <si>
    <t xml:space="preserve"> REGULARIZAÇÃO DE BASE PARA REVEST. DE PISO COM ARGAMASSA TRAÇO 1:4, ESPESSURA MÉDIA =2,5CM</t>
  </si>
  <si>
    <t>2.1.6</t>
  </si>
  <si>
    <t>00018/ORSE</t>
  </si>
  <si>
    <t xml:space="preserve"> DEMOLIÇÃO DE PISO CERÂMICO OU LADRILHO</t>
  </si>
  <si>
    <t>2.1.7</t>
  </si>
  <si>
    <t>73616</t>
  </si>
  <si>
    <t>DEMOLICAO DE CONCRETO SIMPLES</t>
  </si>
  <si>
    <t>M3</t>
  </si>
  <si>
    <t>2.1.8</t>
  </si>
  <si>
    <t>DEMOLICAO MANUAL DE PISO / CONTRAPISO</t>
  </si>
  <si>
    <t>2.1.9</t>
  </si>
  <si>
    <t>88648</t>
  </si>
  <si>
    <t>RODAPÉ CERÂMICO DE 7CM DE ALTURA COM PLACAS TIPO ESMALTADA EXTRA DE DIMENSÕES 35X35CM. AF_06/2014</t>
  </si>
  <si>
    <t>M</t>
  </si>
  <si>
    <t>2.1.10</t>
  </si>
  <si>
    <t>02266/ORSE</t>
  </si>
  <si>
    <t xml:space="preserve"> SOLEIRA EM GRANITO CINZA ANDORINHA, L= 15 CM, E= 2CM</t>
  </si>
  <si>
    <t>2.1.11</t>
  </si>
  <si>
    <t>90444</t>
  </si>
  <si>
    <r>
      <rPr>
        <sz val="12"/>
        <color rgb="FF000000"/>
        <rFont val="Arial"/>
        <family val="2"/>
        <charset val="1"/>
      </rPr>
      <t>RASGO EM CONTRAPISO PARA RAMAIS/ DISTRIBUIÇÃO COM DIÂMETROS MAIORES QUE 40 MM E MENORES QUE 75 MM.</t>
    </r>
    <r>
      <rPr>
        <sz val="12"/>
        <color rgb="FF000000"/>
        <rFont val="Courier New"/>
        <family val="3"/>
        <charset val="1"/>
      </rPr>
      <t>AF_05/2015</t>
    </r>
  </si>
  <si>
    <t>2.2</t>
  </si>
  <si>
    <t>PAREDES</t>
  </si>
  <si>
    <t>2.2.1</t>
  </si>
  <si>
    <t>72215</t>
  </si>
  <si>
    <t>DEMOLICAO DE ALVENARIA DE ELEMENTOS CERAMICOS VAZADOS</t>
  </si>
  <si>
    <t>2.2.2</t>
  </si>
  <si>
    <t>73802/001</t>
  </si>
  <si>
    <t>DEMOLICAO DE REVESTIMENTO DE ARGAMASSA DE CAL E AREIA</t>
  </si>
  <si>
    <t>2.2.3</t>
  </si>
  <si>
    <t>87489</t>
  </si>
  <si>
    <t>ALVENARIA DE VEDAÇÃO DE BLOCOS CERÂMICOS FURADOS NA VERTICAL DE 9X19X39CM (ESPESSURA 9CM) DE PAREDES COM ÁREA LÍQUIDA MAIOR OU IGUAL A 6M² COM VÃOS E ARGAMASSA DE ASSENTAMENTO COM PREPARO EM BETONEIRA</t>
  </si>
  <si>
    <t>2.2.4</t>
  </si>
  <si>
    <t>87878</t>
  </si>
  <si>
    <t>CHAPISCO APLICADO TANTO EM PILARES E VIGAS DE CONCRETO COMO EM ALVENARIAS DE PAREDES INTERNAS, COM COLHER DE PEDREIRO. ARGAMASSA TRAÇO 1:3IAS DE PAREDES INTERNAS, COM COLHER DE PEDREIRO. ARGAMASSA TRAÇO 1:3</t>
  </si>
  <si>
    <t>2.2.5</t>
  </si>
  <si>
    <t>87530</t>
  </si>
  <si>
    <t>MASSA ÚNICA, PARA RECEBIMENTO DE PINTURA, EM ARGAMASSA TRAÇO 1:2:8,PREPARO MECÂNICO COM BETONEIRA 400L, APLICADA MANUALMENTE EM FACES INTERNAS DE PAREDES DE AMBIENTES COM ÁREA MAIOR QUE 10M2, ESPESSURA DE 20MM, COM EXECUÇÃO DE TALISCAS</t>
  </si>
  <si>
    <t>2.2.6</t>
  </si>
  <si>
    <t>88485</t>
  </si>
  <si>
    <t>APLICAÇÃO DE FUNDO SELADOR ACRÍLICO EM PAREDES, UMA DEMÃO. AF_06/2014</t>
  </si>
  <si>
    <t>2.2.7</t>
  </si>
  <si>
    <t>88497</t>
  </si>
  <si>
    <t>APLICAÇÃO E LIXAMENTO DE MASSA LATÉX EM PAREDES, DUAS DEMÃOS</t>
  </si>
  <si>
    <t>2.2.8</t>
  </si>
  <si>
    <t>88487</t>
  </si>
  <si>
    <t>APLICAÇÃO MANUAL DE PINTURA COM TINTA LÁTEX PVA EM PAREDES, DUAS DEMÃOS</t>
  </si>
  <si>
    <t>2.2.9</t>
  </si>
  <si>
    <t>08624/ORSE</t>
  </si>
  <si>
    <t xml:space="preserve"> EMASSAMENTO DE SUPERFÍCIE, COM APLICAÇÃO DE 02 DEMÃOS DE MASSA ACRÍLICA, LIXAMENTO E RETOQUE</t>
  </si>
  <si>
    <t>2.2.10</t>
  </si>
  <si>
    <t>88489</t>
  </si>
  <si>
    <t>APLICAÇÃO MANUAL DE PINTURA COM TINTA LÁTEX ACRÍLICA EM PAREDES, DUAS DEMÃOS</t>
  </si>
  <si>
    <t>2.2.11</t>
  </si>
  <si>
    <t>79334/001</t>
  </si>
  <si>
    <t>PINTURA A BASE DE CAL E FIXADOR A BASE DE COLA, DUAS DEMAOS</t>
  </si>
  <si>
    <t>2.2.12</t>
  </si>
  <si>
    <t>RETIRADA DE REVESTIMENTO CERÂMICO 45X45 CM</t>
  </si>
  <si>
    <t>2.2.13</t>
  </si>
  <si>
    <t>87273</t>
  </si>
  <si>
    <t>REVESTIMENTO CERÂMICO PARA PAREDES INTERNAS COM PLACAS TIPO GRÊS OU SEMI-GRÊS DE DIMENSÕES 33X45 CM APLICADAS EM AMBIENTES DE ÁREA MAIOR QUE 5 M² NA ALTURA INTEIRA DAS PAREDES</t>
  </si>
  <si>
    <t>2.2.14</t>
  </si>
  <si>
    <t>90443</t>
  </si>
  <si>
    <t>RASGO EM ALVENARIA PARA RAMAIS/ DISTRIBUIÇÃO COM DIAMETROS MENORES OU IGUAIS A 40 MM</t>
  </si>
  <si>
    <t>3.0</t>
  </si>
  <si>
    <t>TETO</t>
  </si>
  <si>
    <t>3.1</t>
  </si>
  <si>
    <t>3.1.1</t>
  </si>
  <si>
    <t>DEMOLIÇÃO DE FORRO DE GESSO</t>
  </si>
  <si>
    <t>3.1.2</t>
  </si>
  <si>
    <t>01954/ORSE</t>
  </si>
  <si>
    <t xml:space="preserve">FORRO DE GESSO, EM PLACAS 60X60 CM, INCLUSIVE MADEIRAMENTO EM RIPÃO 3,5 CMX 5,5CM </t>
  </si>
  <si>
    <t>3.1.3</t>
  </si>
  <si>
    <t>88496</t>
  </si>
  <si>
    <t>APLICAÇÃO E LIXAMENTO DE MASSA LÁTEX EM TETO, DUAS DEMÃOS. AF_06/2014</t>
  </si>
  <si>
    <t>3.1.4</t>
  </si>
  <si>
    <t>88486</t>
  </si>
  <si>
    <t>APLICAÇÃO MANUAL DE PINTURA COM TINTA LÁTEX PVA EM TETO, DUAS DEMÃOS.</t>
  </si>
  <si>
    <t>3.1.5</t>
  </si>
  <si>
    <t>72238</t>
  </si>
  <si>
    <t>RETIRADA DE FORRO EM REGUAS DE PVC, INCLUSIVE RETIRADA DE PERFIS</t>
  </si>
  <si>
    <t>3.1.6</t>
  </si>
  <si>
    <t>C.M</t>
  </si>
  <si>
    <t>FORRO DE PVC METABIL OU SIMILAR, PLACAS NA COR BRANCA, APLICADO( INCLUSO PERFIS DE FIXAÇÃO)</t>
  </si>
  <si>
    <t>4.0</t>
  </si>
  <si>
    <t>ESQUADRIAS</t>
  </si>
  <si>
    <t>4.1</t>
  </si>
  <si>
    <t>ESQUADRIAS EM MADEIRA</t>
  </si>
  <si>
    <t>4.1.1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</si>
  <si>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</si>
  <si>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</si>
  <si>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4.1.2</t>
  </si>
  <si>
    <t>90848</t>
  </si>
  <si>
    <t>KIT DE PORTA DE MADEIRA PARA PINTURA, SEMI-OCA (LEVE OU MÉDIA), PADRÃO MÉDIO, 70X210CM, ESPESSURA DE 3,5CM, ITENS INCLUSOS: DOBRADIÇAS, MONTAGEM E INSTALAÇÃO DO BATENTE, FECHADURA COM EXECUÇÃO DO FURO - FORNECIMENTO E INSTALAÇÃO. AF_08/2015</t>
  </si>
  <si>
    <t>4.1.3</t>
  </si>
  <si>
    <t>90849</t>
  </si>
  <si>
    <t>KIT DE PORTA DE MADEIRA PARA PINTURA, SEMI-OCA (LEVE OU MÉDIA), PADRÃO MÉDIO, 80X210CM, ESPESSURA DE 3,5CM, ITENS INCLUSOS: DOBRADIÇAS, MONTAGEM E INSTALAÇÃO DO BATENTE, SEM FECHADURA - FORNECIMENTO E INSTALAÇÃO. AF_08/2015</t>
  </si>
  <si>
    <t>4.1.4</t>
  </si>
  <si>
    <t>84657</t>
  </si>
  <si>
    <t>FUNDO SINTETICO NIVELADOR BRANCO</t>
  </si>
  <si>
    <t>4.1.5</t>
  </si>
  <si>
    <t>74133/002</t>
  </si>
  <si>
    <t>EMASSAMENTO COM MASSA A OLEO, DUAS DEMAOS</t>
  </si>
  <si>
    <t>4.1.6</t>
  </si>
  <si>
    <t>74065/003</t>
  </si>
  <si>
    <t>PINTURA ESMALTE BRILHANTE PARA MADEIRA, DUAS DEMAOS, SOBRE FUNDO NIVELADOR BRANCO</t>
  </si>
  <si>
    <t>4.1.7</t>
  </si>
  <si>
    <t>72142</t>
  </si>
  <si>
    <t>RETIRADA DE FOLHAS DE PORTA DE PASSAGEM OU JANELA</t>
  </si>
  <si>
    <t>4.1.8</t>
  </si>
  <si>
    <t>72144</t>
  </si>
  <si>
    <t>RECOLOCACAO DE FOLHAS DE PORTA DE PASSAGEM OU JANELA, CONSIDERANDO REAPROVEITAMENTO DO MATERIAL</t>
  </si>
  <si>
    <t>4.2</t>
  </si>
  <si>
    <t>ESQUADRIAS METÁLICAS</t>
  </si>
  <si>
    <t>4.2.1</t>
  </si>
  <si>
    <t>08040/ORSE</t>
  </si>
  <si>
    <t xml:space="preserve"> REMOÇÃO DE PINTURA A BASE ÓLEO OU ESMALTE, UTILIZANDO REMOVEDOR DE TINTA CORAL OU SIMILAR</t>
  </si>
  <si>
    <t>4.2.2</t>
  </si>
  <si>
    <t>6067</t>
  </si>
  <si>
    <t>PINTURA ESMALTE BRILHANTE (2 DEMAOS) SOBRE SUPERFICIE METALICA, INCLUSIVE PROTECAO COM ZARCAO (1 DEMAO)</t>
  </si>
  <si>
    <t>4.2.3</t>
  </si>
  <si>
    <t>MOLA HIDRÁULICA PARA PORTA DE VIDRO</t>
  </si>
  <si>
    <t>5.0</t>
  </si>
  <si>
    <t>INSTALAÇÕES E MATERIAIS ELÉTRICOS E TELEFÔNICOS</t>
  </si>
  <si>
    <t>5.1</t>
  </si>
  <si>
    <t>INSTALAÇÕES E MATERIAIS ELÉTRICOS</t>
  </si>
  <si>
    <t>5.1.1</t>
  </si>
  <si>
    <t>85416</t>
  </si>
  <si>
    <t>REMOCAO DE TOMADAS OU INTERRUPTORES ELETRICOS</t>
  </si>
  <si>
    <t>5.1.2</t>
  </si>
  <si>
    <t>85332</t>
  </si>
  <si>
    <t>RETIRADA DE APARELHOS DE ILUMINACAO C/ REAPROVEITAMENTO DE LAMPADAS</t>
  </si>
  <si>
    <t>5.1.3</t>
  </si>
  <si>
    <t>00555/ORSE</t>
  </si>
  <si>
    <t xml:space="preserve"> REATOR DE PARTIDA RÁPIDA P/ LÂMPADA FLUORESCENTE 2X20 W</t>
  </si>
  <si>
    <t>5.1.4</t>
  </si>
  <si>
    <t>00557ORSE</t>
  </si>
  <si>
    <t xml:space="preserve"> REATOR DE PARTIDA RÁPIDA P/ LÂMPADA FLUORESCENTE 2X40 W</t>
  </si>
  <si>
    <t>5.1.5</t>
  </si>
  <si>
    <t>LAMPADA FLUORESCENTE 40W - FORNECIMENTO E INSTALACAO</t>
  </si>
  <si>
    <t>5.1.6</t>
  </si>
  <si>
    <t>LAMPADA FLUORESCENTE 20W - FORNECIMENTO E INSTALACAO</t>
  </si>
  <si>
    <t>5.1.7</t>
  </si>
  <si>
    <t>INTERRUPTOR SIMPLES (1 MÓDULO), 10A/250V, INCLUINDO SUPORTE E PLACA FORNECIMENTO E INSTALAÇÃO</t>
  </si>
  <si>
    <t>5.1.8</t>
  </si>
  <si>
    <t>INTERRUPTOR SIMPLES (2 MÓDULOS), 10A/250V, INCLUINDO SUPORTE E PLACA FORNECIMENTO E INSTALAÇÃO</t>
  </si>
  <si>
    <t>5.1.9</t>
  </si>
  <si>
    <t>73953/002</t>
  </si>
  <si>
    <t>LUMINARIA TIPO CALHA, DE SOBREPOR, COM REATOR DE PARTIDA RAPIDA E LAMPADA FLUORESCENTE 2X20W, COMPLETA, FORNECIMENTO E INSTALACAO</t>
  </si>
  <si>
    <t>5.1.10</t>
  </si>
  <si>
    <t>73953/006</t>
  </si>
  <si>
    <t>LUMINARIA TIPO CALHA, DE SOBREPOR, COM REATOR DE PARTIDA RAPIDA E LAMPADA FLUORESCENTE 2X40W, COMPLETA, FORNECIMENTO E INSTALACAO</t>
  </si>
  <si>
    <t>5.1.11</t>
  </si>
  <si>
    <t>07780/ORSE</t>
  </si>
  <si>
    <t xml:space="preserve"> LUMINÁRIA DE EMERGÊNCIA 2X8 W G-LIGHT OU SIMILAR</t>
  </si>
  <si>
    <t>5.1.12</t>
  </si>
  <si>
    <t>LUMINARIA ESTANQUE – PROTECAO CONTRA AGUA, POEIRA, OU IMPACTOS – TIPO AQUATIC (TIPO TARTARUGA NA COR BRANCA, 3/4, ALUMÍNIO E VIDRO COM LÂMPADA 25W FLUORESCENTE COMPACTA)</t>
  </si>
  <si>
    <t>5.1.13</t>
  </si>
  <si>
    <t>ELETRODUTO FLEXÍVEL CORRUGADO, PVC, DN 32 MM (1"), PARA CIRCUITOS TERMINAIS, INSTALADO EM FORRO – FORNECIMENTO E INSTALAÇÃO</t>
  </si>
  <si>
    <t>5.1.14</t>
  </si>
  <si>
    <t>ELETRODUTO FLEXÍVEL CORRUGADO, PVC, DN 32 MM (1"), PARA CIRCUITOS TERMINAIS, INSTALADO EM PAREDE – FORNECIMENTO E INSTALAÇÃO</t>
  </si>
  <si>
    <t>5.1.15</t>
  </si>
  <si>
    <t>CABO DE COBRE FLEXÍVEL ISOLADO, 1,5 MM², ANTI-CHAMA 450/750 V, PARA CIRCUITOS TERMINAIS - FORNECIMENTO E INSTALAÇÃO. AF_12/2015</t>
  </si>
  <si>
    <t>5.1.16</t>
  </si>
  <si>
    <t>CABO DE COBRE FLEXÍVEL ISOLADO, 2,5 MM², ANTI-CHAMA 450/750 V, PARA CIRCUITOS TERMINAIS - FORNECIMENTO E INSTALAÇÃO. AF_12/2015</t>
  </si>
  <si>
    <t>5.1.17</t>
  </si>
  <si>
    <t>CABO DE COBRE FLEXÍVEL ISOLADO, 4,0  MM², ANTI-CHAMA 0,6/1,0 KV, PARA CIRCUITOS TERMINAIS - FORNECIMENTO E INSTALAÇÃO</t>
  </si>
  <si>
    <t>5.1.18</t>
  </si>
  <si>
    <t>CABO DE COBRE FLEXÍVEL ISOLADO, 10,0  MM², ANTI-CHAMA 450/750 KV, PARA CIRCUITOS TERMINAIS - FORNECIMENTO E INSTALAÇÃO AF12/2015</t>
  </si>
  <si>
    <t>5.1.19</t>
  </si>
  <si>
    <t>TOMADA BAIXA DE EMBUTIR (1 MÓDULO), 2P+T 20 A, INCLUINDO SUPORTE E PLACA - FORNECIMENTO E INSTALAÇÃO</t>
  </si>
  <si>
    <t>5.1.20</t>
  </si>
  <si>
    <t>TOMADA BAIXA DE EMBUTIR (2 MÓDULOS), 2P+T 20 A, INCLUINDO SUPORTE E PLACA – FORNECIMENTO E INSTALAÇÃO</t>
  </si>
  <si>
    <t>5.1.21</t>
  </si>
  <si>
    <t>TOMADA  ALTA DE EMBUTIR (1 MÓDULO), 2P+T 20 A, INCLUINDO SUPORTE E PLACA - FORNECIMENTO E INSTALAÇÃO</t>
  </si>
  <si>
    <t>5.1.22</t>
  </si>
  <si>
    <t>TOMADA MÉDIA DE EMBUTIR (2 MÓDULOS), 2P+T 20 A, INCLUINDO SUPORTE E PLACA – FORNECIMENTO E INSTALAÇÃO</t>
  </si>
  <si>
    <t>5.1.23</t>
  </si>
  <si>
    <t>12156/ORSE</t>
  </si>
  <si>
    <t>Tomada para uso geral, 2p + t, ABNT, de sobrepor, 20 A, com caixa, "Sistema X"</t>
  </si>
  <si>
    <t>5.1.24</t>
  </si>
  <si>
    <t>03811/ORSE</t>
  </si>
  <si>
    <t>CANALETA PLÁSTICA 25X25 MM (SCHEINEDER OU SIMILAR)- FORNECIMENTO E INSTALAÇÃO</t>
  </si>
  <si>
    <t>5.1.25</t>
  </si>
  <si>
    <t>74130/001</t>
  </si>
  <si>
    <t>DISJUNTOR TERMOMAGNETICO MONOPOLAR PADRAO NEMA (AMERICANO) 10 A 30A 240V, FORNECIMENTO E INSTALACAO</t>
  </si>
  <si>
    <t>5.1.26</t>
  </si>
  <si>
    <t>74130/002</t>
  </si>
  <si>
    <t>DISJUNTOR TERMOMAGNETICO MONOPOLAR PADRAO NEMA (AMERICANO) 35 A 50A 240V, FORNECIMENTO E INSTALACAO</t>
  </si>
  <si>
    <t>6.0</t>
  </si>
  <si>
    <t>INSTALAÇÕES DE CABEAMENTO ESTRUTURADO</t>
  </si>
  <si>
    <t>6.1</t>
  </si>
  <si>
    <t>CABEAMENTO ESTRUTURADO</t>
  </si>
  <si>
    <t>6.1.1</t>
  </si>
  <si>
    <t>05006/ORSE</t>
  </si>
  <si>
    <t xml:space="preserve"> PONTO PARA CABEAMENTO ESTRUTURADO EMBUTIDO, COM ELETRODUTO PVC RÍGIDO C/CABO UTP 4 PARES CAT 5E</t>
  </si>
  <si>
    <t>6.1.2</t>
  </si>
  <si>
    <t>00697/ORSE</t>
  </si>
  <si>
    <t xml:space="preserve"> FORNECIMENTO E LANÇAMENTO DE CABO UTP 4 PARES CAT 5E</t>
  </si>
  <si>
    <t>7.0</t>
  </si>
  <si>
    <t>INSTALAÇÕES E MATERIAIS HIDROSANITÁRIOS</t>
  </si>
  <si>
    <t>INSTALAÇÕES HIDROSANITÁRIOS</t>
  </si>
  <si>
    <t>7.1</t>
  </si>
  <si>
    <t>MATERIAIS HIDROSSINATÁRIOS</t>
  </si>
  <si>
    <t>7.1.1</t>
  </si>
  <si>
    <t>89356</t>
  </si>
  <si>
    <t>TUBO, PVC, SOLDÁVEL, DN 25MM, INSTALADO EM RAMAL OU SUB-RAMAL DE ÁGUA - FORNECIMENTO E INSTALAÇÃO</t>
  </si>
  <si>
    <t>7.1.2</t>
  </si>
  <si>
    <t>89383</t>
  </si>
  <si>
    <t>ADAPTADOR CURTO COM BOLSA E ROSCA PARA REGISTRO, PVC, SOLDÁVEL, DN 25M M X 3/4", INSTALADO EM RAMAL OU SUB-RAMAL DE ÁGUA - FORNECIMENTO E INSTALAÇÃO. AF_12/2014_P</t>
  </si>
  <si>
    <t>7.1.3</t>
  </si>
  <si>
    <t>73663</t>
  </si>
  <si>
    <t>REGISTRO DE GAVETA COM CANOPLA Ø 25MM (1) - FORNECIMENTO E INSTALAÇÃO</t>
  </si>
  <si>
    <t>7.1.4</t>
  </si>
  <si>
    <t>89395</t>
  </si>
  <si>
    <t>TE, PVC, SOLDÁVEL, DN 25MM, INSTALADO EM RAMAL OU SUB-RAMAL DE ÁGUA -FORNECIMENTO E INSTALAÇÃO</t>
  </si>
  <si>
    <t>7.1.5</t>
  </si>
  <si>
    <t>89362</t>
  </si>
  <si>
    <t>JOELHO 90 GRAUS, PVC, SOLDÁVEL, DN 25MM, INSTALADO EM RAMAL OU SUB-RAMAL DE ÁGUA - FORNECIMENTO E INSTALAÇÃO</t>
  </si>
  <si>
    <t>7.1.6</t>
  </si>
  <si>
    <t>89378</t>
  </si>
  <si>
    <t>LUVA, PVC, SOLDÁVEL, DN 25MM, INSTALADO EM RAMAL OU SUB-RAMAL DE ÁGUA - FORNECIMENTO E INSTALAÇÃO</t>
  </si>
  <si>
    <t>7.1.7</t>
  </si>
  <si>
    <t>89410</t>
  </si>
  <si>
    <t>CURVA 90 GRAUS, PVC, SOLDÁVEL, DN 25MM, INSTALADO EM RAMAL DE DISTRIBUIÇÃO DE ÁGUA - FORNECIMENTO E INSTALAÇÃO. AF_12/2014_P</t>
  </si>
  <si>
    <t>7.1.8</t>
  </si>
  <si>
    <t>COMP. PRÓPRIA (DPE-MA012)</t>
  </si>
  <si>
    <t>ABRAÇADEIRA EM AÇO, TIPO "D", COM 1'' ( COM CUNHA E PARAFUSO) - FORNECIMENTO E INSTALAÇÃO</t>
  </si>
  <si>
    <t>7.1.9</t>
  </si>
  <si>
    <t>01200/ORSE</t>
  </si>
  <si>
    <t xml:space="preserve"> PONTO DE ÁGUA FRIA EMBUTIDO, C/MATERIAL PVC RÍGIDO SOLDÁVEL Ø 25mm</t>
  </si>
  <si>
    <t>7.1.10</t>
  </si>
  <si>
    <t>89711</t>
  </si>
  <si>
    <t>TUBO PVC, SERIE NORMAL, ESGOTO PREDIAL, DN 40 MM, FORNECIDO E INSTALADO EM RAMAL DE DESCARGA OU RAMAL DE ESGOTO SANITÁRIO. AF_12/2014_P</t>
  </si>
  <si>
    <t>7.1.11</t>
  </si>
  <si>
    <t>89724</t>
  </si>
  <si>
    <t>JOELHO 90 GRAUS, PVC, SERIE NORMAL, ESGOTO PREDIAL, DN 40 MM, JUNTA ELÁSTICA, FORNECIDO E INSTALADO EM RAMAL DE DESCARGA OU RAMAL DE ESGOTO SANITÁRIO. AF_12/2014</t>
  </si>
  <si>
    <t>7.1.12</t>
  </si>
  <si>
    <t>89728</t>
  </si>
  <si>
    <t>CURVA CURTA 90 GRAUS, PVC, SERIE NORMAL, ESGOTO PREDIAL, DN 40 MM, JUNTA ELÁSTICA, FORNECIDO E INSTALADO EM RAMAL DE DESCARGA OU RAMAL DE ESGOTO SANITÁRIO. AF_12/2014</t>
  </si>
  <si>
    <t>7.1.13</t>
  </si>
  <si>
    <t>89754</t>
  </si>
  <si>
    <t>LUVA DE CORRER, PVC, SERIE NORMAL, ESGOTO PREDIAL, DN 50 MM, JUNTA ELÁSTICA, FORNECIDO E INSTALADO EM RAMAL DE DESCARGA OU RAMAL DE ESGOTO SANITÁRIO. AF_12/2014</t>
  </si>
  <si>
    <t>7.1.14</t>
  </si>
  <si>
    <t>89782</t>
  </si>
  <si>
    <t>TE, PVC, SERIE NORMAL, ESGOTO PREDIAL, DN 40 X 40 MM, JUNTA ELÁSTICA - FORNECIDO E INSTALADO EM RAMAL DE DESCARGA OU RAMAL DE ESGOTO SANITÁRI</t>
  </si>
  <si>
    <t>7.1.15</t>
  </si>
  <si>
    <t>89714</t>
  </si>
  <si>
    <t>TUBO PVC, SERIE NORMAL, ESGOTO PREDIAL, DN 100 MM, FORNECIDO E INSTALADO EM RAMAL DE DESCARGA OU RAMAL DE ESGOTO SANITÁRIO. AF_12/2014_P</t>
  </si>
  <si>
    <t>7.1.16</t>
  </si>
  <si>
    <t>86884</t>
  </si>
  <si>
    <t>ENGATE FLEXÍVEL EM PLÁSTICO BRANCO, 1/2" X 30CM - FORNECIMENTO E INSTALAÇÃO. AF_12/2013</t>
  </si>
  <si>
    <t>7.1.17</t>
  </si>
  <si>
    <t>86883</t>
  </si>
  <si>
    <t>SIFÃO DO TIPO FLEXÍVEL EM PVC 3/4" X 1.1/2" - FORNECIMENTO E INSTALAÇÃO. AF_12/2013</t>
  </si>
  <si>
    <t>7.1.18</t>
  </si>
  <si>
    <t>04324/ORSE</t>
  </si>
  <si>
    <t>PAPELEIRA DE PLÁSTICO AKROS OU SIMILAR</t>
  </si>
  <si>
    <t>7.1.19</t>
  </si>
  <si>
    <t>04323/ORSE</t>
  </si>
  <si>
    <t>ASSENTO PARA VASO SANITÁRIO, AP60, LINHA CARRARA/NUOVA/DUNA, PLÁSTICO, DECA OU SIMILAR</t>
  </si>
  <si>
    <t>7.1.20</t>
  </si>
  <si>
    <t>04387/ORSE</t>
  </si>
  <si>
    <t>ASSENTO PARA VASO SANITARIO REMOVÍVEL P/DEFICIENTE FÍSICO, DECA OU SIMILAR</t>
  </si>
  <si>
    <t>7.1.21</t>
  </si>
  <si>
    <t>07611/ORSE</t>
  </si>
  <si>
    <t>PORTA PAPEL-HIGIÊNICO EM INOX</t>
  </si>
  <si>
    <t>7.1.22</t>
  </si>
  <si>
    <t>07609/ORSE</t>
  </si>
  <si>
    <t>SABONETEIRA EM PLÁSTICO ABS, PARA SABONETE LÍQUIDO, DA JSN, REF 17 OU SIMILAR</t>
  </si>
  <si>
    <t>7.1.23</t>
  </si>
  <si>
    <t>KIT DE REPARO CAIXA ACOPLADA</t>
  </si>
  <si>
    <t>8.0</t>
  </si>
  <si>
    <t>LOUÇAS E METAIS</t>
  </si>
  <si>
    <t>8.1</t>
  </si>
  <si>
    <t>LOUÇAS</t>
  </si>
  <si>
    <t>8.1.1</t>
  </si>
  <si>
    <t>85333</t>
  </si>
  <si>
    <t>RETIRADA DE APARELHOS SANITARIOS</t>
  </si>
  <si>
    <t>8.1.2</t>
  </si>
  <si>
    <t>86888</t>
  </si>
  <si>
    <t>VASO SANITÁRIO SIFONADO COM CAIXA ACOPLADA LOUÇA BRANCA - FORNECIMENTO E INSTALAÇÃO. AF_12/2013</t>
  </si>
  <si>
    <t>8.1.3</t>
  </si>
  <si>
    <t>BACIA DE LOUÇA COM ABERTURA FRONTAL P/ PNE, CAIXA DE DESCARGA PVC EXTERNA COMPLETA 9L, ENGATE FLEXÍVEL, BOIA E SUPORTE DE FIXAÇÃO, BOLSA DE LIGAÇÃO E CONJUNTO PARA FIXAÇÃO DE CAIXA DE DESCARGA NA COR BRANCA</t>
  </si>
  <si>
    <t>8.1.4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</si>
  <si>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</si>
  <si>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</si>
  <si>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8.2</t>
  </si>
  <si>
    <t>METAIS</t>
  </si>
  <si>
    <t>8.2.1</t>
  </si>
  <si>
    <t>86912</t>
  </si>
  <si>
    <t>TORNEIRA CROMADA LONGA, DE PAREDE, 1/2" OU 3/4", PARA PIA DE COZINHA,PADRÃO MÉDIO - FORNECIMENTO E INSTALAÇÃO. AF_12/2013</t>
  </si>
  <si>
    <t>8.2.2</t>
  </si>
  <si>
    <t>86915</t>
  </si>
  <si>
    <t>TORNEIRA CROMADA DE MESA, 1/2" OU 3/4", PARA LAVATÓRIO, PADRÃO MÉDIO - FORNECIMENTO E INSTALAÇÃO. AF_12/2013</t>
  </si>
  <si>
    <t>8.2.3</t>
  </si>
  <si>
    <t>90831</t>
  </si>
  <si>
    <t>FECHADURA DE EMBUTIR PARA PORTA DE BANHEIRO, COMPLETA, ACABAMENTO PADRÃO MÉDIO, INCLUSO EXECUÇÃO DE FURO - FORNECIMENTO E INSTALAÇÃO</t>
  </si>
  <si>
    <t>8.2.4</t>
  </si>
  <si>
    <t>91306</t>
  </si>
  <si>
    <t>FECHADURA DE EMBUTIR PARA PORTAS INTERNAS, COMPLETA, ACABAMENTO PADRÃO MÉDIO, COM EXECUÇÃO DE FURO - FORNECIMENTO E INSTALAÇÃO</t>
  </si>
  <si>
    <t>COBERTURA</t>
  </si>
  <si>
    <t>9.1.1</t>
  </si>
  <si>
    <t>REVISAO GERAL DE TELHADOS DE TELHAS CERAMICAS</t>
  </si>
  <si>
    <t>9.1.2</t>
  </si>
  <si>
    <t>RETIRADA DE TELHAS DE CERAMICAS OU DE VIDRO</t>
  </si>
  <si>
    <t>9.1.3</t>
  </si>
  <si>
    <t>RECOLOCACAO DE TELHAS CERAMICAS TIPO PLAN, CONSIDERANDO REAPROVEITAMENTO DE MATERIAL</t>
  </si>
  <si>
    <t>9.1.4</t>
  </si>
  <si>
    <t>40905</t>
  </si>
  <si>
    <t>VERNIZ SINTETICO EM MADEIRA, DUAS DEMAOS</t>
  </si>
  <si>
    <t>9.1.5</t>
  </si>
  <si>
    <t>55960</t>
  </si>
  <si>
    <t>IMUNIZAÇÃO DE MADEIRAMENTO PARA COBERTURA UTILIZANDO CUPINICIDA INCOLOR</t>
  </si>
  <si>
    <t>LIMPEZA E CARGAS MANUAIS</t>
  </si>
  <si>
    <t>10.1</t>
  </si>
  <si>
    <t>9537</t>
  </si>
  <si>
    <t>LIMPEZA FINAL DA OBRA</t>
  </si>
  <si>
    <t>10.2</t>
  </si>
  <si>
    <t>72897</t>
  </si>
  <si>
    <t>CARGA MANUAL DE ENTULHO EM CAMINHAO BASCULANTE 6 M3</t>
  </si>
  <si>
    <t>MOBILIZAÇÃO E DESMOBILIZAÇÃO</t>
  </si>
  <si>
    <t>11.1</t>
  </si>
  <si>
    <t>DESLOCAMENTOS MÉDIOS ACIMA DE 100KM (IDA E VOLTA) A PARTIR DO PÓLO SEDE DO LOTE</t>
  </si>
  <si>
    <t>KM</t>
  </si>
  <si>
    <t>TOTAL GERAL</t>
  </si>
  <si>
    <t>Planilha Orçamentária Analítica/ lote 04</t>
  </si>
  <si>
    <t xml:space="preserve"> 2.1.2 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</si>
  <si>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</si>
  <si>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</si>
  <si>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</si>
  <si>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</si>
  <si>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</si>
  <si>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</si>
  <si>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</si>
  <si>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</si>
  <si>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 xml:space="preserve">COBE – PISO  </t>
  </si>
  <si>
    <t>m²</t>
  </si>
  <si>
    <t>Composição Auxiliar</t>
  </si>
  <si>
    <t xml:space="preserve"> 88316 </t>
  </si>
  <si>
    <t>SINAPI</t>
  </si>
  <si>
    <t>SERVENTE COM ENCARGOS COMPLEMENTARES</t>
  </si>
  <si>
    <t>SEDI - SERVIÇOS DIVERSOS</t>
  </si>
  <si>
    <t>H</t>
  </si>
  <si>
    <t xml:space="preserve"> 2.1.3 </t>
  </si>
  <si>
    <t xml:space="preserve"> 2.1.8</t>
  </si>
  <si>
    <t xml:space="preserve"> 2.2.12</t>
  </si>
  <si>
    <t xml:space="preserve">COBE – PAREDES </t>
  </si>
  <si>
    <t xml:space="preserve"> 7.2.8</t>
  </si>
  <si>
    <t>COBE - COBERTURA</t>
  </si>
  <si>
    <t>Insumo</t>
  </si>
  <si>
    <t xml:space="preserve"> 3309 </t>
  </si>
  <si>
    <t>ORSE</t>
  </si>
  <si>
    <t>Abraçadeira em aço inox, tipo "D", 1"</t>
  </si>
  <si>
    <t>Material</t>
  </si>
  <si>
    <t>un</t>
  </si>
  <si>
    <t xml:space="preserve"> 00002696 </t>
  </si>
  <si>
    <t>ENCANADOR OU BOMBEIRO HIDRAULICO</t>
  </si>
  <si>
    <t>Mão de Obra</t>
  </si>
  <si>
    <t xml:space="preserve"> 00006111 </t>
  </si>
  <si>
    <t>SERVENTE DE OBRAS</t>
  </si>
  <si>
    <t xml:space="preserve"> 9.1.1</t>
  </si>
  <si>
    <t xml:space="preserve"> 94201 </t>
  </si>
  <si>
    <t>REVISAO GERAL DE TELHADOS DE TELHAS CERÂMICAS</t>
  </si>
  <si>
    <t>TELHADISTA COM ENCARGOS COMPLEMENTARES</t>
  </si>
  <si>
    <t xml:space="preserve"> 9.1.2</t>
  </si>
  <si>
    <t xml:space="preserve"> 88323 </t>
  </si>
  <si>
    <t xml:space="preserve"> 9.1.3</t>
  </si>
  <si>
    <t xml:space="preserve"> 93281 </t>
  </si>
  <si>
    <t>GUINCHO ELÉTRICO DE COLUNA, CAPACIDADE 400 KG, COM MOTO FREIO, MOTOR TRIFÁSICO DE 1,25 CV - CHP DIURNO. AF_03/2016</t>
  </si>
  <si>
    <t>CHOR - CUSTOS HORÁRIOS DE MÁQUINAS E EQUIPAMENTOS</t>
  </si>
  <si>
    <t>CHP</t>
  </si>
  <si>
    <t xml:space="preserve"> 93282 </t>
  </si>
  <si>
    <t>GUINCHO ELÉTRICO DE COLUNA, CAPACIDADE 400 KG, COM MOTO FREIO, MOTOR TRIFÁSICO DE 1,25 CV - CHI DIURNO. AF_03/2016</t>
  </si>
  <si>
    <t>CHI</t>
  </si>
  <si>
    <t xml:space="preserve"> 00007173 </t>
  </si>
  <si>
    <t>TELHA DE BARRO / CERAMICA, NAO ESMALTADA, TIPO COLONIAL, CANAL, PLAN, PAULISTA, COMPRIMENTO DE *44 A 50* CM, RENDIMENTO DE COBERTURA DE *26* TELHAS/M2</t>
  </si>
  <si>
    <t>MIL</t>
  </si>
  <si>
    <t xml:space="preserve"> 11.1</t>
  </si>
  <si>
    <t xml:space="preserve"> 5937 </t>
  </si>
  <si>
    <t>Técnico Nível Médio Sênior - 40h - Rev 02</t>
  </si>
  <si>
    <t>h</t>
  </si>
  <si>
    <t xml:space="preserve"> 00000242 </t>
  </si>
  <si>
    <t>AJUDANTE ESPECIALIZADO</t>
  </si>
  <si>
    <t xml:space="preserve"> 00034782 </t>
  </si>
  <si>
    <t>ENGENHEIRO CIVIL SENIOR</t>
  </si>
  <si>
    <t xml:space="preserve"> 00004222 </t>
  </si>
  <si>
    <t>GASOLINA COMUM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</si>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</sst>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R$ &quot;#,##0.00;[Red]&quot;-R$ &quot;#,##0.00"/>
    <numFmt numFmtId="165" formatCode="#,##0.00\ ;#,##0.00\ ;\-#\ ;@\ "/>
    <numFmt numFmtId="166" formatCode="[$R$-416]#,##0.00\ ;\-[$R$-416]#,##0.00\ ;[$R$-416]\-#\ ;@\ "/>
    <numFmt numFmtId="167" formatCode="#,##0.0000000"/>
  </numFmts>
  <fonts count="17">
    <font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Courier New"/>
      <family val="3"/>
      <charset val="1"/>
    </font>
    <font>
      <u/>
      <sz val="11"/>
      <color rgb="FF0563C1"/>
      <name val="Arial"/>
      <family val="2"/>
      <charset val="1"/>
    </font>
    <font>
      <sz val="10"/>
      <color rgb="FFCC0000"/>
      <name val="Arial"/>
      <family val="2"/>
      <charset val="1"/>
    </font>
    <font>
      <sz val="11"/>
      <name val="Arial"/>
      <family val="1"/>
      <charset val="1"/>
    </font>
    <font>
      <b/>
      <sz val="11"/>
      <name val="Arial"/>
      <family val="1"/>
      <charset val="1"/>
    </font>
    <font>
      <sz val="10"/>
      <name val="Arial"/>
      <family val="1"/>
      <charset val="1"/>
    </font>
    <font>
      <b/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</font>
    <font>
      <sz val="11"/>
      <name val="Arial"/>
      <family val="1"/>
    </font>
    <font>
      <sz val="10"/>
      <name val="Arial"/>
      <family val="1"/>
    </font>
    <font>
      <sz val="12"/>
      <color rgb="FF000000"/>
      <name val="Ecofont Vera Sans"/>
      <charset val="1"/>
    </font>
  </fonts>
  <fills count="19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rgb="FFEFEFEF"/>
      </patternFill>
    </fill>
    <fill>
      <patternFill patternType="solid">
        <fgColor rgb="FFDFF0D8"/>
        <bgColor rgb="FFEFEFEF"/>
      </patternFill>
    </fill>
    <fill>
      <patternFill patternType="solid">
        <fgColor rgb="FF92D050"/>
        <bgColor rgb="FFCCCCCC"/>
      </patternFill>
    </fill>
    <fill>
      <patternFill patternType="solid">
        <fgColor rgb="FFD6D6D6"/>
        <bgColor rgb="FFCCCCCC"/>
      </patternFill>
    </fill>
    <fill>
      <patternFill patternType="solid">
        <fgColor rgb="FF92D050"/>
        <bgColor rgb="FFEFEFEF"/>
      </patternFill>
    </fill>
    <fill>
      <patternFill patternType="solid">
        <fgColor rgb="FF92D050"/>
        <bgColor rgb="FF993366"/>
      </patternFill>
    </fill>
    <fill>
      <patternFill patternType="solid">
        <fgColor theme="9" tint="0.79998168889431442"/>
        <bgColor rgb="FFAFD095"/>
      </patternFill>
    </fill>
    <fill>
      <patternFill patternType="solid">
        <fgColor rgb="FFEFEFEF"/>
      </patternFill>
    </fill>
    <fill>
      <patternFill patternType="solid">
        <fgColor theme="0"/>
        <bgColor rgb="FFAFD095"/>
      </patternFill>
    </fill>
    <fill>
      <patternFill patternType="solid">
        <fgColor theme="9" tint="0.79998168889431442"/>
        <bgColor rgb="FFCCCCCC"/>
      </patternFill>
    </fill>
    <fill>
      <patternFill patternType="solid">
        <fgColor theme="9" tint="0.79998168889431442"/>
        <bgColor rgb="FFDFF0D8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7">
    <xf numFmtId="0" fontId="0" fillId="0" borderId="0"/>
    <xf numFmtId="165" fontId="4" fillId="0" borderId="0" applyBorder="0" applyProtection="0"/>
    <xf numFmtId="9" fontId="4" fillId="0" borderId="0" applyBorder="0" applyProtection="0"/>
    <xf numFmtId="0" fontId="6" fillId="0" borderId="0" applyBorder="0" applyProtection="0"/>
    <xf numFmtId="0" fontId="7" fillId="0" borderId="0" applyBorder="0" applyProtection="0"/>
    <xf numFmtId="0" fontId="8" fillId="0" borderId="0"/>
    <xf numFmtId="0" fontId="14" fillId="0" borderId="0"/>
  </cellStyleXfs>
  <cellXfs count="188">
    <xf numFmtId="0" fontId="0" fillId="0" borderId="0" xfId="0"/>
    <xf numFmtId="0" fontId="1" fillId="6" borderId="6" xfId="0" applyFont="1" applyFill="1" applyBorder="1"/>
    <xf numFmtId="4" fontId="3" fillId="2" borderId="6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left" vertical="center"/>
    </xf>
    <xf numFmtId="4" fontId="3" fillId="3" borderId="6" xfId="0" applyNumberFormat="1" applyFont="1" applyFill="1" applyBorder="1" applyAlignment="1">
      <alignment horizontal="left" vertical="center"/>
    </xf>
    <xf numFmtId="4" fontId="3" fillId="0" borderId="4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0" xfId="0" applyFont="1"/>
    <xf numFmtId="49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0" fontId="3" fillId="0" borderId="5" xfId="2" applyNumberFormat="1" applyFont="1" applyBorder="1" applyAlignment="1" applyProtection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11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vertical="center"/>
    </xf>
    <xf numFmtId="164" fontId="3" fillId="2" borderId="6" xfId="1" applyNumberFormat="1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/>
    <xf numFmtId="4" fontId="1" fillId="0" borderId="6" xfId="0" applyNumberFormat="1" applyFont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4" fontId="3" fillId="3" borderId="6" xfId="0" applyNumberFormat="1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left" vertical="center"/>
    </xf>
    <xf numFmtId="4" fontId="3" fillId="5" borderId="6" xfId="0" applyNumberFormat="1" applyFont="1" applyFill="1" applyBorder="1" applyAlignment="1">
      <alignment horizontal="center" vertical="center"/>
    </xf>
    <xf numFmtId="164" fontId="3" fillId="5" borderId="6" xfId="0" applyNumberFormat="1" applyFont="1" applyFill="1" applyBorder="1" applyAlignment="1" applyProtection="1">
      <alignment horizontal="center" vertical="center"/>
      <protection locked="0"/>
    </xf>
    <xf numFmtId="164" fontId="3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4" fontId="3" fillId="5" borderId="6" xfId="0" applyNumberFormat="1" applyFont="1" applyFill="1" applyBorder="1" applyAlignment="1">
      <alignment vertical="center"/>
    </xf>
    <xf numFmtId="4" fontId="1" fillId="0" borderId="6" xfId="0" applyNumberFormat="1" applyFont="1" applyBorder="1" applyAlignment="1" applyProtection="1">
      <alignment horizontal="center" vertical="center"/>
      <protection hidden="1"/>
    </xf>
    <xf numFmtId="4" fontId="1" fillId="4" borderId="6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wrapText="1"/>
    </xf>
    <xf numFmtId="4" fontId="1" fillId="0" borderId="0" xfId="0" applyNumberFormat="1" applyFont="1"/>
    <xf numFmtId="49" fontId="1" fillId="4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/>
    </xf>
    <xf numFmtId="4" fontId="1" fillId="4" borderId="6" xfId="0" applyNumberFormat="1" applyFont="1" applyFill="1" applyBorder="1" applyAlignment="1">
      <alignment vertical="center"/>
    </xf>
    <xf numFmtId="4" fontId="1" fillId="4" borderId="6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1" fillId="4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4" fontId="1" fillId="4" borderId="0" xfId="0" applyNumberFormat="1" applyFont="1" applyFill="1" applyBorder="1" applyAlignment="1" applyProtection="1">
      <alignment vertical="center"/>
      <protection locked="0"/>
    </xf>
    <xf numFmtId="0" fontId="1" fillId="4" borderId="6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6" xfId="3" applyFont="1" applyBorder="1" applyAlignment="1" applyProtection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6" xfId="4" applyFont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left" vertical="center" wrapText="1"/>
    </xf>
    <xf numFmtId="166" fontId="1" fillId="0" borderId="0" xfId="0" applyNumberFormat="1" applyFont="1"/>
    <xf numFmtId="0" fontId="3" fillId="6" borderId="6" xfId="0" applyFont="1" applyFill="1" applyBorder="1" applyAlignment="1">
      <alignment horizontal="center" vertical="center"/>
    </xf>
    <xf numFmtId="0" fontId="9" fillId="8" borderId="0" xfId="5" applyFont="1" applyFill="1" applyBorder="1" applyAlignment="1">
      <alignment horizontal="center" wrapText="1"/>
    </xf>
    <xf numFmtId="0" fontId="10" fillId="8" borderId="0" xfId="5" applyFont="1" applyFill="1" applyAlignment="1">
      <alignment horizontal="right" vertical="top" wrapText="1"/>
    </xf>
    <xf numFmtId="4" fontId="10" fillId="8" borderId="0" xfId="5" applyNumberFormat="1" applyFont="1" applyFill="1" applyAlignment="1">
      <alignment horizontal="right" vertical="top" wrapText="1"/>
    </xf>
    <xf numFmtId="0" fontId="11" fillId="8" borderId="0" xfId="5" applyFont="1" applyFill="1" applyAlignment="1">
      <alignment horizontal="right" vertical="top" wrapText="1"/>
    </xf>
    <xf numFmtId="167" fontId="11" fillId="8" borderId="0" xfId="5" applyNumberFormat="1" applyFont="1" applyFill="1" applyAlignment="1">
      <alignment horizontal="right" vertical="top" wrapText="1"/>
    </xf>
    <xf numFmtId="4" fontId="11" fillId="8" borderId="0" xfId="5" applyNumberFormat="1" applyFont="1" applyFill="1" applyAlignment="1">
      <alignment horizontal="right" vertical="top" wrapText="1"/>
    </xf>
    <xf numFmtId="0" fontId="12" fillId="9" borderId="7" xfId="5" applyFont="1" applyFill="1" applyBorder="1" applyAlignment="1">
      <alignment horizontal="left" vertical="top" wrapText="1"/>
    </xf>
    <xf numFmtId="0" fontId="9" fillId="8" borderId="6" xfId="5" applyFont="1" applyFill="1" applyBorder="1" applyAlignment="1">
      <alignment horizontal="left" vertical="top" wrapText="1"/>
    </xf>
    <xf numFmtId="0" fontId="9" fillId="8" borderId="6" xfId="5" applyFont="1" applyFill="1" applyBorder="1" applyAlignment="1">
      <alignment horizontal="right" vertical="top" wrapText="1"/>
    </xf>
    <xf numFmtId="0" fontId="9" fillId="8" borderId="6" xfId="5" applyFont="1" applyFill="1" applyBorder="1" applyAlignment="1">
      <alignment horizontal="left" vertical="top" wrapText="1"/>
    </xf>
    <xf numFmtId="0" fontId="9" fillId="8" borderId="6" xfId="5" applyFont="1" applyFill="1" applyBorder="1" applyAlignment="1">
      <alignment horizontal="center" vertical="top" wrapText="1"/>
    </xf>
    <xf numFmtId="49" fontId="1" fillId="10" borderId="6" xfId="0" applyNumberFormat="1" applyFont="1" applyFill="1" applyBorder="1" applyAlignment="1">
      <alignment horizontal="center" vertical="center" wrapText="1"/>
    </xf>
    <xf numFmtId="0" fontId="12" fillId="10" borderId="6" xfId="5" applyFont="1" applyFill="1" applyBorder="1" applyAlignment="1">
      <alignment horizontal="right" vertical="top" wrapText="1"/>
    </xf>
    <xf numFmtId="0" fontId="12" fillId="10" borderId="6" xfId="5" applyFont="1" applyFill="1" applyBorder="1" applyAlignment="1">
      <alignment horizontal="left" vertical="top" wrapText="1"/>
    </xf>
    <xf numFmtId="0" fontId="13" fillId="10" borderId="6" xfId="5" applyFont="1" applyFill="1" applyBorder="1" applyAlignment="1">
      <alignment horizontal="left" vertical="top" wrapText="1"/>
    </xf>
    <xf numFmtId="0" fontId="12" fillId="10" borderId="6" xfId="5" applyFont="1" applyFill="1" applyBorder="1" applyAlignment="1">
      <alignment horizontal="left" vertical="top" wrapText="1"/>
    </xf>
    <xf numFmtId="0" fontId="12" fillId="10" borderId="6" xfId="5" applyFont="1" applyFill="1" applyBorder="1" applyAlignment="1">
      <alignment horizontal="center" vertical="top" wrapText="1"/>
    </xf>
    <xf numFmtId="167" fontId="12" fillId="10" borderId="6" xfId="5" applyNumberFormat="1" applyFont="1" applyFill="1" applyBorder="1" applyAlignment="1">
      <alignment horizontal="right" vertical="top" wrapText="1"/>
    </xf>
    <xf numFmtId="4" fontId="12" fillId="10" borderId="6" xfId="5" applyNumberFormat="1" applyFont="1" applyFill="1" applyBorder="1" applyAlignment="1">
      <alignment horizontal="right" vertical="top" wrapText="1"/>
    </xf>
    <xf numFmtId="0" fontId="10" fillId="11" borderId="6" xfId="5" applyFont="1" applyFill="1" applyBorder="1" applyAlignment="1">
      <alignment horizontal="left" vertical="top" wrapText="1"/>
    </xf>
    <xf numFmtId="0" fontId="10" fillId="11" borderId="6" xfId="5" applyFont="1" applyFill="1" applyBorder="1" applyAlignment="1">
      <alignment horizontal="right" vertical="top" wrapText="1"/>
    </xf>
    <xf numFmtId="0" fontId="10" fillId="11" borderId="6" xfId="5" applyFont="1" applyFill="1" applyBorder="1" applyAlignment="1">
      <alignment horizontal="left" vertical="top" wrapText="1"/>
    </xf>
    <xf numFmtId="0" fontId="10" fillId="11" borderId="6" xfId="5" applyFont="1" applyFill="1" applyBorder="1" applyAlignment="1">
      <alignment horizontal="center" vertical="top" wrapText="1"/>
    </xf>
    <xf numFmtId="167" fontId="0" fillId="11" borderId="6" xfId="5" applyNumberFormat="1" applyFont="1" applyFill="1" applyBorder="1" applyAlignment="1">
      <alignment horizontal="right" vertical="top" wrapText="1"/>
    </xf>
    <xf numFmtId="4" fontId="10" fillId="11" borderId="6" xfId="5" applyNumberFormat="1" applyFont="1" applyFill="1" applyBorder="1" applyAlignment="1">
      <alignment horizontal="right" vertical="top" wrapText="1"/>
    </xf>
    <xf numFmtId="0" fontId="13" fillId="12" borderId="6" xfId="5" applyFont="1" applyFill="1" applyBorder="1" applyAlignment="1">
      <alignment horizontal="left" vertical="top" wrapText="1"/>
    </xf>
    <xf numFmtId="0" fontId="12" fillId="12" borderId="6" xfId="5" applyFont="1" applyFill="1" applyBorder="1" applyAlignment="1">
      <alignment horizontal="right" vertical="top" wrapText="1"/>
    </xf>
    <xf numFmtId="0" fontId="12" fillId="12" borderId="6" xfId="5" applyFont="1" applyFill="1" applyBorder="1" applyAlignment="1">
      <alignment horizontal="left" vertical="top" wrapText="1"/>
    </xf>
    <xf numFmtId="0" fontId="12" fillId="12" borderId="6" xfId="5" applyFont="1" applyFill="1" applyBorder="1" applyAlignment="1">
      <alignment horizontal="left" vertical="top" wrapText="1"/>
    </xf>
    <xf numFmtId="0" fontId="12" fillId="12" borderId="6" xfId="5" applyFont="1" applyFill="1" applyBorder="1" applyAlignment="1">
      <alignment horizontal="center" vertical="top" wrapText="1"/>
    </xf>
    <xf numFmtId="167" fontId="12" fillId="12" borderId="6" xfId="5" applyNumberFormat="1" applyFont="1" applyFill="1" applyBorder="1" applyAlignment="1">
      <alignment horizontal="right" vertical="top" wrapText="1"/>
    </xf>
    <xf numFmtId="4" fontId="12" fillId="12" borderId="6" xfId="5" applyNumberFormat="1" applyFont="1" applyFill="1" applyBorder="1" applyAlignment="1">
      <alignment horizontal="right" vertical="top" wrapText="1"/>
    </xf>
    <xf numFmtId="0" fontId="9" fillId="13" borderId="6" xfId="5" applyFont="1" applyFill="1" applyBorder="1" applyAlignment="1">
      <alignment horizontal="left" vertical="top" wrapText="1"/>
    </xf>
    <xf numFmtId="0" fontId="9" fillId="13" borderId="6" xfId="5" applyFont="1" applyFill="1" applyBorder="1" applyAlignment="1">
      <alignment horizontal="right" vertical="top" wrapText="1"/>
    </xf>
    <xf numFmtId="0" fontId="9" fillId="13" borderId="6" xfId="5" applyFont="1" applyFill="1" applyBorder="1" applyAlignment="1">
      <alignment horizontal="left" vertical="top" wrapText="1"/>
    </xf>
    <xf numFmtId="0" fontId="9" fillId="13" borderId="6" xfId="5" applyFont="1" applyFill="1" applyBorder="1" applyAlignment="1">
      <alignment horizontal="center" vertical="top" wrapText="1"/>
    </xf>
    <xf numFmtId="0" fontId="13" fillId="13" borderId="6" xfId="5" applyFont="1" applyFill="1" applyBorder="1" applyAlignment="1">
      <alignment horizontal="left" vertical="top" wrapText="1"/>
    </xf>
    <xf numFmtId="0" fontId="12" fillId="13" borderId="6" xfId="5" applyFont="1" applyFill="1" applyBorder="1" applyAlignment="1">
      <alignment horizontal="right" vertical="top" wrapText="1"/>
    </xf>
    <xf numFmtId="0" fontId="12" fillId="13" borderId="6" xfId="5" applyFont="1" applyFill="1" applyBorder="1" applyAlignment="1">
      <alignment horizontal="left" vertical="top" wrapText="1"/>
    </xf>
    <xf numFmtId="0" fontId="12" fillId="13" borderId="6" xfId="5" applyFont="1" applyFill="1" applyBorder="1" applyAlignment="1">
      <alignment horizontal="left" vertical="top" wrapText="1"/>
    </xf>
    <xf numFmtId="0" fontId="12" fillId="13" borderId="6" xfId="5" applyFont="1" applyFill="1" applyBorder="1" applyAlignment="1">
      <alignment horizontal="center" vertical="top" wrapText="1"/>
    </xf>
    <xf numFmtId="167" fontId="12" fillId="13" borderId="6" xfId="5" applyNumberFormat="1" applyFont="1" applyFill="1" applyBorder="1" applyAlignment="1">
      <alignment horizontal="right" vertical="top" wrapText="1"/>
    </xf>
    <xf numFmtId="4" fontId="12" fillId="13" borderId="6" xfId="5" applyNumberFormat="1" applyFont="1" applyFill="1" applyBorder="1" applyAlignment="1">
      <alignment horizontal="right" vertical="top" wrapText="1"/>
    </xf>
    <xf numFmtId="0" fontId="15" fillId="7" borderId="6" xfId="6" applyFont="1" applyFill="1" applyBorder="1" applyAlignment="1">
      <alignment horizontal="left" vertical="top" wrapText="1"/>
    </xf>
    <xf numFmtId="0" fontId="15" fillId="7" borderId="6" xfId="6" applyFont="1" applyFill="1" applyBorder="1" applyAlignment="1">
      <alignment horizontal="right" vertical="top" wrapText="1"/>
    </xf>
    <xf numFmtId="0" fontId="15" fillId="7" borderId="6" xfId="6" applyFont="1" applyFill="1" applyBorder="1" applyAlignment="1">
      <alignment horizontal="left" vertical="top" wrapText="1"/>
    </xf>
    <xf numFmtId="0" fontId="15" fillId="7" borderId="6" xfId="6" applyFont="1" applyFill="1" applyBorder="1" applyAlignment="1">
      <alignment horizontal="center" vertical="top" wrapText="1"/>
    </xf>
    <xf numFmtId="167" fontId="15" fillId="7" borderId="6" xfId="6" applyNumberFormat="1" applyFont="1" applyFill="1" applyBorder="1" applyAlignment="1">
      <alignment horizontal="right" vertical="top" wrapText="1"/>
    </xf>
    <xf numFmtId="4" fontId="15" fillId="7" borderId="6" xfId="6" applyNumberFormat="1" applyFont="1" applyFill="1" applyBorder="1" applyAlignment="1">
      <alignment horizontal="right" vertical="top" wrapText="1"/>
    </xf>
    <xf numFmtId="4" fontId="10" fillId="14" borderId="8" xfId="5" applyNumberFormat="1" applyFont="1" applyFill="1" applyBorder="1" applyAlignment="1">
      <alignment horizontal="right" vertical="top" wrapText="1"/>
    </xf>
    <xf numFmtId="0" fontId="15" fillId="15" borderId="0" xfId="6" applyFont="1" applyFill="1" applyBorder="1" applyAlignment="1">
      <alignment horizontal="left" vertical="top" wrapText="1"/>
    </xf>
    <xf numFmtId="0" fontId="15" fillId="15" borderId="0" xfId="6" applyFont="1" applyFill="1" applyBorder="1" applyAlignment="1">
      <alignment horizontal="right" vertical="top" wrapText="1"/>
    </xf>
    <xf numFmtId="0" fontId="15" fillId="15" borderId="0" xfId="6" applyFont="1" applyFill="1" applyBorder="1" applyAlignment="1">
      <alignment horizontal="center" vertical="top" wrapText="1"/>
    </xf>
    <xf numFmtId="167" fontId="15" fillId="15" borderId="0" xfId="6" applyNumberFormat="1" applyFont="1" applyFill="1" applyBorder="1" applyAlignment="1">
      <alignment horizontal="right" vertical="top" wrapText="1"/>
    </xf>
    <xf numFmtId="4" fontId="15" fillId="15" borderId="0" xfId="6" applyNumberFormat="1" applyFont="1" applyFill="1" applyBorder="1" applyAlignment="1">
      <alignment horizontal="right" vertical="top" wrapText="1"/>
    </xf>
    <xf numFmtId="4" fontId="10" fillId="16" borderId="0" xfId="5" applyNumberFormat="1" applyFont="1" applyFill="1" applyBorder="1" applyAlignment="1">
      <alignment horizontal="right" vertical="top" wrapText="1"/>
    </xf>
    <xf numFmtId="0" fontId="9" fillId="12" borderId="9" xfId="5" applyFont="1" applyFill="1" applyBorder="1" applyAlignment="1">
      <alignment horizontal="left" vertical="top" wrapText="1"/>
    </xf>
    <xf numFmtId="0" fontId="9" fillId="12" borderId="9" xfId="5" applyFont="1" applyFill="1" applyBorder="1" applyAlignment="1">
      <alignment horizontal="right" vertical="top" wrapText="1"/>
    </xf>
    <xf numFmtId="0" fontId="9" fillId="12" borderId="9" xfId="5" applyFont="1" applyFill="1" applyBorder="1" applyAlignment="1">
      <alignment horizontal="left" vertical="top" wrapText="1"/>
    </xf>
    <xf numFmtId="0" fontId="9" fillId="12" borderId="9" xfId="5" applyFont="1" applyFill="1" applyBorder="1" applyAlignment="1">
      <alignment horizontal="center" vertical="top" wrapText="1"/>
    </xf>
    <xf numFmtId="49" fontId="1" fillId="17" borderId="6" xfId="0" applyNumberFormat="1" applyFont="1" applyFill="1" applyBorder="1" applyAlignment="1">
      <alignment horizontal="center" vertical="center" wrapText="1"/>
    </xf>
    <xf numFmtId="0" fontId="12" fillId="17" borderId="6" xfId="5" applyFont="1" applyFill="1" applyBorder="1" applyAlignment="1">
      <alignment horizontal="right" vertical="top" wrapText="1"/>
    </xf>
    <xf numFmtId="0" fontId="12" fillId="17" borderId="6" xfId="5" applyFont="1" applyFill="1" applyBorder="1" applyAlignment="1">
      <alignment horizontal="left" vertical="top" wrapText="1"/>
    </xf>
    <xf numFmtId="0" fontId="16" fillId="17" borderId="6" xfId="5" applyFont="1" applyFill="1" applyBorder="1" applyAlignment="1">
      <alignment horizontal="left" vertical="top" wrapText="1"/>
    </xf>
    <xf numFmtId="0" fontId="12" fillId="17" borderId="6" xfId="5" applyFont="1" applyFill="1" applyBorder="1" applyAlignment="1">
      <alignment horizontal="left" vertical="top" wrapText="1"/>
    </xf>
    <xf numFmtId="0" fontId="12" fillId="17" borderId="6" xfId="5" applyFont="1" applyFill="1" applyBorder="1" applyAlignment="1">
      <alignment horizontal="center" vertical="top" wrapText="1"/>
    </xf>
    <xf numFmtId="167" fontId="12" fillId="17" borderId="6" xfId="5" applyNumberFormat="1" applyFont="1" applyFill="1" applyBorder="1" applyAlignment="1">
      <alignment horizontal="right" vertical="top" wrapText="1"/>
    </xf>
    <xf numFmtId="4" fontId="12" fillId="17" borderId="6" xfId="5" applyNumberFormat="1" applyFont="1" applyFill="1" applyBorder="1" applyAlignment="1">
      <alignment horizontal="right" vertical="top" wrapText="1"/>
    </xf>
    <xf numFmtId="167" fontId="10" fillId="11" borderId="6" xfId="5" applyNumberFormat="1" applyFont="1" applyFill="1" applyBorder="1" applyAlignment="1">
      <alignment horizontal="right" vertical="top" wrapText="1"/>
    </xf>
    <xf numFmtId="0" fontId="0" fillId="0" borderId="6" xfId="0" applyBorder="1"/>
    <xf numFmtId="0" fontId="9" fillId="12" borderId="10" xfId="5" applyFont="1" applyFill="1" applyBorder="1" applyAlignment="1">
      <alignment horizontal="left" vertical="top" wrapText="1"/>
    </xf>
    <xf numFmtId="0" fontId="9" fillId="12" borderId="10" xfId="5" applyFont="1" applyFill="1" applyBorder="1" applyAlignment="1">
      <alignment horizontal="right" vertical="top" wrapText="1"/>
    </xf>
    <xf numFmtId="0" fontId="9" fillId="12" borderId="10" xfId="5" applyFont="1" applyFill="1" applyBorder="1" applyAlignment="1">
      <alignment horizontal="left" vertical="top" wrapText="1"/>
    </xf>
    <xf numFmtId="0" fontId="9" fillId="12" borderId="10" xfId="5" applyFont="1" applyFill="1" applyBorder="1" applyAlignment="1">
      <alignment horizontal="center" vertical="top" wrapText="1"/>
    </xf>
    <xf numFmtId="0" fontId="13" fillId="9" borderId="8" xfId="5" applyFont="1" applyFill="1" applyBorder="1" applyAlignment="1">
      <alignment vertical="top" wrapText="1"/>
    </xf>
    <xf numFmtId="0" fontId="12" fillId="9" borderId="8" xfId="5" applyFont="1" applyFill="1" applyBorder="1" applyAlignment="1">
      <alignment vertical="top" wrapText="1"/>
    </xf>
    <xf numFmtId="0" fontId="12" fillId="9" borderId="8" xfId="5" applyFont="1" applyFill="1" applyBorder="1" applyAlignment="1">
      <alignment vertical="top" wrapText="1"/>
    </xf>
    <xf numFmtId="167" fontId="12" fillId="9" borderId="8" xfId="5" applyNumberFormat="1" applyFont="1" applyFill="1" applyBorder="1" applyAlignment="1">
      <alignment vertical="top" wrapText="1"/>
    </xf>
    <xf numFmtId="4" fontId="12" fillId="9" borderId="8" xfId="5" applyNumberFormat="1" applyFont="1" applyFill="1" applyBorder="1" applyAlignment="1">
      <alignment vertical="top" wrapText="1"/>
    </xf>
    <xf numFmtId="0" fontId="10" fillId="11" borderId="8" xfId="5" applyFont="1" applyFill="1" applyBorder="1" applyAlignment="1">
      <alignment vertical="top" wrapText="1"/>
    </xf>
    <xf numFmtId="0" fontId="10" fillId="11" borderId="8" xfId="5" applyFont="1" applyFill="1" applyBorder="1" applyAlignment="1">
      <alignment vertical="top" wrapText="1"/>
    </xf>
    <xf numFmtId="167" fontId="10" fillId="11" borderId="8" xfId="5" applyNumberFormat="1" applyFont="1" applyFill="1" applyBorder="1" applyAlignment="1">
      <alignment vertical="top" wrapText="1"/>
    </xf>
    <xf numFmtId="4" fontId="10" fillId="11" borderId="8" xfId="5" applyNumberFormat="1" applyFont="1" applyFill="1" applyBorder="1" applyAlignment="1">
      <alignment vertical="top" wrapText="1"/>
    </xf>
    <xf numFmtId="167" fontId="0" fillId="11" borderId="8" xfId="5" applyNumberFormat="1" applyFont="1" applyFill="1" applyBorder="1" applyAlignment="1">
      <alignment vertical="top" wrapText="1"/>
    </xf>
    <xf numFmtId="0" fontId="9" fillId="12" borderId="6" xfId="5" applyFont="1" applyFill="1" applyBorder="1" applyAlignment="1">
      <alignment horizontal="left" vertical="top" wrapText="1"/>
    </xf>
    <xf numFmtId="0" fontId="9" fillId="12" borderId="6" xfId="5" applyFont="1" applyFill="1" applyBorder="1" applyAlignment="1">
      <alignment horizontal="right" vertical="top" wrapText="1"/>
    </xf>
    <xf numFmtId="0" fontId="9" fillId="12" borderId="6" xfId="5" applyFont="1" applyFill="1" applyBorder="1" applyAlignment="1">
      <alignment horizontal="left" vertical="top" wrapText="1"/>
    </xf>
    <xf numFmtId="0" fontId="9" fillId="12" borderId="6" xfId="5" applyFont="1" applyFill="1" applyBorder="1" applyAlignment="1">
      <alignment horizontal="center" vertical="top" wrapText="1"/>
    </xf>
    <xf numFmtId="0" fontId="10" fillId="17" borderId="6" xfId="5" applyFont="1" applyFill="1" applyBorder="1" applyAlignment="1">
      <alignment horizontal="left" vertical="top" wrapText="1"/>
    </xf>
    <xf numFmtId="0" fontId="10" fillId="17" borderId="6" xfId="5" applyFont="1" applyFill="1" applyBorder="1" applyAlignment="1">
      <alignment horizontal="right" vertical="top" wrapText="1"/>
    </xf>
    <xf numFmtId="0" fontId="10" fillId="17" borderId="6" xfId="5" applyFont="1" applyFill="1" applyBorder="1" applyAlignment="1">
      <alignment horizontal="left" vertical="top" wrapText="1"/>
    </xf>
    <xf numFmtId="0" fontId="10" fillId="17" borderId="6" xfId="5" applyFont="1" applyFill="1" applyBorder="1" applyAlignment="1">
      <alignment horizontal="center" vertical="top" wrapText="1"/>
    </xf>
    <xf numFmtId="167" fontId="10" fillId="17" borderId="6" xfId="5" applyNumberFormat="1" applyFont="1" applyFill="1" applyBorder="1" applyAlignment="1">
      <alignment horizontal="right" vertical="top" wrapText="1"/>
    </xf>
    <xf numFmtId="4" fontId="10" fillId="17" borderId="6" xfId="5" applyNumberFormat="1" applyFont="1" applyFill="1" applyBorder="1" applyAlignment="1">
      <alignment horizontal="right" vertical="top" wrapText="1"/>
    </xf>
    <xf numFmtId="0" fontId="10" fillId="18" borderId="6" xfId="5" applyFont="1" applyFill="1" applyBorder="1" applyAlignment="1">
      <alignment horizontal="left" vertical="top" wrapText="1"/>
    </xf>
    <xf numFmtId="0" fontId="10" fillId="18" borderId="6" xfId="5" applyFont="1" applyFill="1" applyBorder="1" applyAlignment="1">
      <alignment horizontal="right" vertical="top" wrapText="1"/>
    </xf>
    <xf numFmtId="0" fontId="10" fillId="18" borderId="6" xfId="5" applyFont="1" applyFill="1" applyBorder="1" applyAlignment="1">
      <alignment horizontal="left" vertical="top" wrapText="1"/>
    </xf>
    <xf numFmtId="0" fontId="10" fillId="18" borderId="6" xfId="5" applyFont="1" applyFill="1" applyBorder="1" applyAlignment="1">
      <alignment horizontal="center" vertical="top" wrapText="1"/>
    </xf>
    <xf numFmtId="167" fontId="10" fillId="18" borderId="6" xfId="5" applyNumberFormat="1" applyFont="1" applyFill="1" applyBorder="1" applyAlignment="1">
      <alignment horizontal="right" vertical="top" wrapText="1"/>
    </xf>
    <xf numFmtId="4" fontId="10" fillId="18" borderId="6" xfId="5" applyNumberFormat="1" applyFont="1" applyFill="1" applyBorder="1" applyAlignment="1">
      <alignment horizontal="right" vertical="top" wrapText="1"/>
    </xf>
    <xf numFmtId="0" fontId="9" fillId="8" borderId="9" xfId="5" applyFont="1" applyFill="1" applyBorder="1" applyAlignment="1">
      <alignment horizontal="left" vertical="top" wrapText="1"/>
    </xf>
    <xf numFmtId="0" fontId="9" fillId="8" borderId="9" xfId="5" applyFont="1" applyFill="1" applyBorder="1" applyAlignment="1">
      <alignment horizontal="right" vertical="top" wrapText="1"/>
    </xf>
    <xf numFmtId="0" fontId="9" fillId="8" borderId="9" xfId="5" applyFont="1" applyFill="1" applyBorder="1" applyAlignment="1">
      <alignment horizontal="left" vertical="top" wrapText="1"/>
    </xf>
    <xf numFmtId="0" fontId="9" fillId="8" borderId="9" xfId="5" applyFont="1" applyFill="1" applyBorder="1" applyAlignment="1">
      <alignment horizontal="center" vertical="top" wrapText="1"/>
    </xf>
    <xf numFmtId="4" fontId="10" fillId="14" borderId="6" xfId="5" applyNumberFormat="1" applyFont="1" applyFill="1" applyBorder="1" applyAlignment="1">
      <alignment horizontal="right" vertical="top" wrapText="1"/>
    </xf>
  </cellXfs>
  <cellStyles count="7">
    <cellStyle name="Excel Built-in Explanatory Text" xfId="4"/>
    <cellStyle name="Hiperlink" xfId="3" builtinId="8"/>
    <cellStyle name="Moeda" xfId="1" builtinId="4"/>
    <cellStyle name="Normal" xfId="0" builtinId="0"/>
    <cellStyle name="Normal 2" xfId="5"/>
    <cellStyle name="Normal 3" xfId="6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8"/>
  <sheetViews>
    <sheetView view="pageBreakPreview" topLeftCell="A140" zoomScaleNormal="100" zoomScaleSheetLayoutView="100" zoomScalePageLayoutView="85" workbookViewId="0">
      <selection activeCell="F155" sqref="F155"/>
    </sheetView>
  </sheetViews>
  <sheetFormatPr defaultColWidth="8" defaultRowHeight="15"/>
  <cols>
    <col min="1" max="1" width="12.5" style="10" customWidth="1"/>
    <col min="2" max="2" width="17.8984375" style="11" customWidth="1"/>
    <col min="3" max="3" width="99.59765625" style="11" customWidth="1"/>
    <col min="4" max="4" width="6.19921875" style="12" customWidth="1"/>
    <col min="5" max="5" width="11" style="10" customWidth="1"/>
    <col min="6" max="6" width="10.69921875" style="13" customWidth="1"/>
    <col min="7" max="7" width="15" style="13" customWidth="1"/>
    <col min="8" max="8" width="18.296875" style="13" customWidth="1"/>
    <col min="9" max="9" width="15.19921875" style="11" customWidth="1"/>
    <col min="10" max="10" width="12.59765625" style="11" customWidth="1"/>
    <col min="11" max="1024" width="8" style="11"/>
  </cols>
  <sheetData>
    <row r="1" spans="1:8" ht="45" customHeight="1">
      <c r="A1" s="9" t="s">
        <v>0</v>
      </c>
      <c r="B1" s="9"/>
      <c r="C1" s="9"/>
      <c r="D1" s="9"/>
      <c r="E1" s="9"/>
      <c r="F1" s="9"/>
      <c r="G1" s="9"/>
      <c r="H1" s="9"/>
    </row>
    <row r="2" spans="1:8" s="20" customFormat="1" ht="15.6">
      <c r="A2" s="14" t="s">
        <v>1</v>
      </c>
      <c r="B2" s="8" t="s">
        <v>2</v>
      </c>
      <c r="C2" s="8"/>
      <c r="D2" s="16"/>
      <c r="E2" s="17"/>
      <c r="F2" s="18"/>
      <c r="G2" s="18"/>
      <c r="H2" s="19"/>
    </row>
    <row r="3" spans="1:8">
      <c r="A3" s="21" t="s">
        <v>3</v>
      </c>
      <c r="B3" s="7" t="s">
        <v>4</v>
      </c>
      <c r="C3" s="7"/>
      <c r="D3" s="22"/>
      <c r="E3" s="23"/>
      <c r="F3" s="24"/>
      <c r="G3" s="24"/>
      <c r="H3" s="25"/>
    </row>
    <row r="4" spans="1:8" s="20" customFormat="1" ht="15.6">
      <c r="A4" s="14" t="s">
        <v>1</v>
      </c>
      <c r="B4" s="8" t="s">
        <v>5</v>
      </c>
      <c r="C4" s="8"/>
      <c r="D4" s="16"/>
      <c r="E4" s="17"/>
      <c r="F4" s="18"/>
      <c r="G4" s="18"/>
      <c r="H4" s="19"/>
    </row>
    <row r="5" spans="1:8">
      <c r="A5" s="21" t="s">
        <v>3</v>
      </c>
      <c r="B5" s="7" t="s">
        <v>6</v>
      </c>
      <c r="C5" s="7"/>
      <c r="D5" s="22"/>
      <c r="E5" s="23"/>
      <c r="F5" s="24"/>
      <c r="G5" s="24"/>
      <c r="H5" s="25"/>
    </row>
    <row r="6" spans="1:8" s="20" customFormat="1" ht="15.6">
      <c r="A6" s="14" t="s">
        <v>1</v>
      </c>
      <c r="B6" s="8" t="s">
        <v>7</v>
      </c>
      <c r="C6" s="8"/>
      <c r="D6" s="16"/>
      <c r="E6" s="17"/>
      <c r="F6" s="18"/>
      <c r="G6" s="18"/>
      <c r="H6" s="19"/>
    </row>
    <row r="7" spans="1:8">
      <c r="A7" s="21" t="s">
        <v>3</v>
      </c>
      <c r="B7" s="7" t="s">
        <v>8</v>
      </c>
      <c r="C7" s="7"/>
      <c r="D7" s="22"/>
      <c r="E7" s="23"/>
      <c r="F7" s="24"/>
      <c r="G7" s="24"/>
      <c r="H7" s="25"/>
    </row>
    <row r="8" spans="1:8" s="20" customFormat="1" ht="15.6">
      <c r="A8" s="14" t="s">
        <v>1</v>
      </c>
      <c r="B8" s="8" t="s">
        <v>9</v>
      </c>
      <c r="C8" s="8"/>
      <c r="D8" s="16"/>
      <c r="E8" s="17"/>
      <c r="F8" s="18"/>
      <c r="G8" s="18"/>
      <c r="H8" s="19"/>
    </row>
    <row r="9" spans="1:8">
      <c r="A9" s="21" t="s">
        <v>3</v>
      </c>
      <c r="B9" s="7" t="s">
        <v>10</v>
      </c>
      <c r="C9" s="7"/>
      <c r="D9" s="22"/>
      <c r="E9" s="23"/>
      <c r="F9" s="24"/>
      <c r="G9" s="24"/>
      <c r="H9" s="25"/>
    </row>
    <row r="10" spans="1:8" s="20" customFormat="1" ht="15.6">
      <c r="A10" s="14" t="s">
        <v>1</v>
      </c>
      <c r="B10" s="8" t="s">
        <v>11</v>
      </c>
      <c r="C10" s="8"/>
      <c r="D10" s="16"/>
      <c r="E10" s="17"/>
      <c r="F10" s="18"/>
      <c r="G10" s="18"/>
      <c r="H10" s="19"/>
    </row>
    <row r="11" spans="1:8">
      <c r="A11" s="21" t="s">
        <v>3</v>
      </c>
      <c r="B11" s="7" t="s">
        <v>12</v>
      </c>
      <c r="C11" s="7"/>
      <c r="D11" s="22"/>
      <c r="E11" s="23"/>
      <c r="F11" s="24"/>
      <c r="G11" s="24"/>
      <c r="H11" s="25"/>
    </row>
    <row r="12" spans="1:8" s="20" customFormat="1" ht="15.6">
      <c r="A12" s="14" t="s">
        <v>1</v>
      </c>
      <c r="B12" s="8" t="s">
        <v>13</v>
      </c>
      <c r="C12" s="8"/>
      <c r="D12" s="16"/>
      <c r="E12" s="17"/>
      <c r="F12" s="18"/>
      <c r="G12" s="18"/>
      <c r="H12" s="19"/>
    </row>
    <row r="13" spans="1:8">
      <c r="A13" s="21" t="s">
        <v>3</v>
      </c>
      <c r="B13" s="7" t="s">
        <v>14</v>
      </c>
      <c r="C13" s="7"/>
      <c r="D13" s="22"/>
      <c r="E13" s="23"/>
      <c r="F13" s="24"/>
      <c r="G13" s="24"/>
      <c r="H13" s="25"/>
    </row>
    <row r="14" spans="1:8" s="20" customFormat="1" ht="15.6">
      <c r="A14" s="14" t="s">
        <v>1</v>
      </c>
      <c r="B14" s="8" t="s">
        <v>15</v>
      </c>
      <c r="C14" s="8"/>
      <c r="D14" s="16"/>
      <c r="E14" s="17"/>
      <c r="F14" s="18"/>
      <c r="G14" s="18"/>
      <c r="H14" s="19"/>
    </row>
    <row r="15" spans="1:8">
      <c r="A15" s="21" t="s">
        <v>3</v>
      </c>
      <c r="B15" s="7" t="s">
        <v>16</v>
      </c>
      <c r="C15" s="7"/>
      <c r="D15" s="22"/>
      <c r="E15" s="23"/>
      <c r="F15" s="24"/>
      <c r="G15" s="24"/>
      <c r="H15" s="25"/>
    </row>
    <row r="16" spans="1:8" s="20" customFormat="1" ht="15.6">
      <c r="A16" s="14" t="s">
        <v>1</v>
      </c>
      <c r="B16" s="8" t="s">
        <v>17</v>
      </c>
      <c r="C16" s="8"/>
      <c r="D16" s="16"/>
      <c r="E16" s="17"/>
      <c r="F16" s="18"/>
      <c r="G16" s="18"/>
      <c r="H16" s="19"/>
    </row>
    <row r="17" spans="1:10">
      <c r="A17" s="21" t="s">
        <v>3</v>
      </c>
      <c r="B17" s="7" t="s">
        <v>18</v>
      </c>
      <c r="C17" s="7"/>
      <c r="D17" s="22"/>
      <c r="E17" s="23"/>
      <c r="F17" s="24"/>
      <c r="G17" s="24"/>
      <c r="H17" s="25"/>
    </row>
    <row r="18" spans="1:10" ht="15.6">
      <c r="A18" s="21"/>
      <c r="B18" s="15"/>
      <c r="C18" s="16"/>
      <c r="D18" s="22"/>
      <c r="E18" s="23"/>
      <c r="F18" s="24"/>
      <c r="G18" s="24"/>
      <c r="H18" s="25"/>
    </row>
    <row r="19" spans="1:10" ht="15.6">
      <c r="A19" s="6" t="s">
        <v>19</v>
      </c>
      <c r="B19" s="6"/>
      <c r="C19" s="6"/>
      <c r="D19" s="6"/>
      <c r="E19" s="6"/>
      <c r="F19" s="6"/>
      <c r="G19" s="6"/>
      <c r="H19" s="26">
        <v>0.22470000000000001</v>
      </c>
    </row>
    <row r="20" spans="1:10" ht="46.8">
      <c r="A20" s="27" t="s">
        <v>20</v>
      </c>
      <c r="B20" s="28" t="s">
        <v>21</v>
      </c>
      <c r="C20" s="29" t="s">
        <v>22</v>
      </c>
      <c r="D20" s="29" t="s">
        <v>23</v>
      </c>
      <c r="E20" s="30" t="s">
        <v>24</v>
      </c>
      <c r="F20" s="31" t="s">
        <v>25</v>
      </c>
      <c r="G20" s="31" t="s">
        <v>26</v>
      </c>
      <c r="H20" s="32" t="s">
        <v>27</v>
      </c>
      <c r="I20" s="20"/>
      <c r="J20" s="20"/>
    </row>
    <row r="21" spans="1:10" ht="15.6">
      <c r="A21" s="27"/>
      <c r="B21" s="33"/>
      <c r="C21" s="33"/>
      <c r="D21" s="33"/>
      <c r="E21" s="29" t="s">
        <v>28</v>
      </c>
      <c r="F21" s="31"/>
      <c r="G21" s="31"/>
      <c r="H21" s="34">
        <f>H157</f>
        <v>525689.55906886002</v>
      </c>
    </row>
    <row r="22" spans="1:10" ht="15.6">
      <c r="A22" s="35" t="s">
        <v>29</v>
      </c>
      <c r="B22" s="5" t="s">
        <v>30</v>
      </c>
      <c r="C22" s="5"/>
      <c r="D22" s="5"/>
      <c r="E22" s="5"/>
      <c r="F22" s="5"/>
      <c r="G22" s="36">
        <f>SUM(G23:G23)</f>
        <v>1871.52</v>
      </c>
      <c r="H22" s="36">
        <f t="shared" ref="H22:H53" si="0">G22*(1+$H$19)</f>
        <v>2292.0505439999997</v>
      </c>
    </row>
    <row r="23" spans="1:10">
      <c r="A23" s="37" t="s">
        <v>31</v>
      </c>
      <c r="B23" s="38" t="s">
        <v>32</v>
      </c>
      <c r="C23" s="39" t="s">
        <v>33</v>
      </c>
      <c r="D23" s="40" t="s">
        <v>23</v>
      </c>
      <c r="E23" s="40">
        <f>8</f>
        <v>8</v>
      </c>
      <c r="F23" s="41">
        <v>233.94</v>
      </c>
      <c r="G23" s="42">
        <f>E23*F23</f>
        <v>1871.52</v>
      </c>
      <c r="H23" s="42">
        <f t="shared" si="0"/>
        <v>2292.0505439999997</v>
      </c>
    </row>
    <row r="24" spans="1:10" ht="15.6">
      <c r="A24" s="35" t="s">
        <v>34</v>
      </c>
      <c r="B24" s="43" t="s">
        <v>35</v>
      </c>
      <c r="C24" s="43"/>
      <c r="D24" s="43"/>
      <c r="E24" s="44"/>
      <c r="F24" s="45"/>
      <c r="G24" s="36">
        <f>SUM(G25,G37)</f>
        <v>191441.30650000001</v>
      </c>
      <c r="H24" s="36">
        <f t="shared" si="0"/>
        <v>234458.16807054999</v>
      </c>
    </row>
    <row r="25" spans="1:10" ht="15.6">
      <c r="A25" s="46" t="s">
        <v>36</v>
      </c>
      <c r="B25" s="47" t="s">
        <v>37</v>
      </c>
      <c r="C25" s="47"/>
      <c r="D25" s="47"/>
      <c r="E25" s="48"/>
      <c r="F25" s="49"/>
      <c r="G25" s="50">
        <f>SUM(G26:G36)</f>
        <v>47790.098699999988</v>
      </c>
      <c r="H25" s="50">
        <f t="shared" si="0"/>
        <v>58528.533877889982</v>
      </c>
    </row>
    <row r="26" spans="1:10">
      <c r="A26" s="37" t="s">
        <v>38</v>
      </c>
      <c r="B26" s="38" t="s">
        <v>39</v>
      </c>
      <c r="C26" s="51" t="s">
        <v>40</v>
      </c>
      <c r="D26" s="40" t="s">
        <v>41</v>
      </c>
      <c r="E26" s="40">
        <f>100+377.69+6.6+334.7+110.52+15+163.98+163.98</f>
        <v>1272.47</v>
      </c>
      <c r="F26" s="52">
        <v>13.83</v>
      </c>
      <c r="G26" s="42">
        <f>E26*F26</f>
        <v>17598.2601</v>
      </c>
      <c r="H26" s="42">
        <f t="shared" si="0"/>
        <v>21552.589144469999</v>
      </c>
    </row>
    <row r="27" spans="1:10" ht="30">
      <c r="A27" s="37" t="s">
        <v>42</v>
      </c>
      <c r="B27" s="53" t="s">
        <v>43</v>
      </c>
      <c r="C27" s="51" t="s">
        <v>44</v>
      </c>
      <c r="D27" s="40" t="s">
        <v>41</v>
      </c>
      <c r="E27" s="40">
        <f>10+25+138.66+25+30+20+15+15</f>
        <v>278.65999999999997</v>
      </c>
      <c r="F27" s="54">
        <v>3.69</v>
      </c>
      <c r="G27" s="42">
        <f>E27*F27</f>
        <v>1028.2553999999998</v>
      </c>
      <c r="H27" s="42">
        <f t="shared" si="0"/>
        <v>1259.3043883799996</v>
      </c>
    </row>
    <row r="28" spans="1:10" ht="30">
      <c r="A28" s="37" t="s">
        <v>45</v>
      </c>
      <c r="B28" s="53" t="s">
        <v>43</v>
      </c>
      <c r="C28" s="51" t="s">
        <v>46</v>
      </c>
      <c r="D28" s="40" t="s">
        <v>41</v>
      </c>
      <c r="E28" s="40">
        <f>15+25+92.44+25+25+20+20+20</f>
        <v>242.44</v>
      </c>
      <c r="F28" s="54">
        <v>5.2</v>
      </c>
      <c r="G28" s="42">
        <f>E28*F28</f>
        <v>1260.6880000000001</v>
      </c>
      <c r="H28" s="42">
        <f t="shared" si="0"/>
        <v>1543.9645935999999</v>
      </c>
    </row>
    <row r="29" spans="1:10" ht="30">
      <c r="A29" s="37" t="s">
        <v>47</v>
      </c>
      <c r="B29" s="38" t="s">
        <v>48</v>
      </c>
      <c r="C29" s="51" t="s">
        <v>49</v>
      </c>
      <c r="D29" s="40" t="s">
        <v>41</v>
      </c>
      <c r="E29" s="40">
        <f>15+25+92.44+25+25+20+20+20</f>
        <v>242.44</v>
      </c>
      <c r="F29" s="52">
        <v>54.88</v>
      </c>
      <c r="G29" s="42">
        <f>E29*F29</f>
        <v>13305.1072</v>
      </c>
      <c r="H29" s="42">
        <f t="shared" si="0"/>
        <v>16294.764787839998</v>
      </c>
    </row>
    <row r="30" spans="1:10" ht="30">
      <c r="A30" s="37" t="s">
        <v>50</v>
      </c>
      <c r="B30" s="38" t="s">
        <v>51</v>
      </c>
      <c r="C30" s="51" t="s">
        <v>52</v>
      </c>
      <c r="D30" s="40" t="s">
        <v>41</v>
      </c>
      <c r="E30" s="40">
        <f>10+20+92.44+25+25+20+20+20</f>
        <v>232.44</v>
      </c>
      <c r="F30" s="52">
        <v>21.39</v>
      </c>
      <c r="G30" s="42">
        <f>F30*E30</f>
        <v>4971.8915999999999</v>
      </c>
      <c r="H30" s="42">
        <f t="shared" si="0"/>
        <v>6089.0756425199997</v>
      </c>
    </row>
    <row r="31" spans="1:10">
      <c r="A31" s="37" t="s">
        <v>53</v>
      </c>
      <c r="B31" s="38" t="s">
        <v>54</v>
      </c>
      <c r="C31" s="51" t="s">
        <v>55</v>
      </c>
      <c r="D31" s="40" t="s">
        <v>41</v>
      </c>
      <c r="E31" s="40">
        <f>10+15+92.44+20+15+20+10+10</f>
        <v>192.44</v>
      </c>
      <c r="F31" s="52">
        <v>11.14</v>
      </c>
      <c r="G31" s="42">
        <f t="shared" ref="G31:G36" si="1">E31*F31</f>
        <v>2143.7816000000003</v>
      </c>
      <c r="H31" s="42">
        <f t="shared" si="0"/>
        <v>2625.48932552</v>
      </c>
    </row>
    <row r="32" spans="1:10">
      <c r="A32" s="37" t="s">
        <v>56</v>
      </c>
      <c r="B32" s="38" t="s">
        <v>57</v>
      </c>
      <c r="C32" s="51" t="s">
        <v>58</v>
      </c>
      <c r="D32" s="40" t="s">
        <v>59</v>
      </c>
      <c r="E32" s="40">
        <f>16</f>
        <v>16</v>
      </c>
      <c r="F32" s="42">
        <v>176.68</v>
      </c>
      <c r="G32" s="42">
        <f t="shared" si="1"/>
        <v>2826.88</v>
      </c>
      <c r="H32" s="42">
        <f t="shared" si="0"/>
        <v>3462.0799359999996</v>
      </c>
    </row>
    <row r="33" spans="1:9" ht="30">
      <c r="A33" s="37" t="s">
        <v>60</v>
      </c>
      <c r="B33" s="53" t="s">
        <v>43</v>
      </c>
      <c r="C33" s="51" t="s">
        <v>61</v>
      </c>
      <c r="D33" s="40" t="s">
        <v>59</v>
      </c>
      <c r="E33" s="40">
        <f>16</f>
        <v>16</v>
      </c>
      <c r="F33" s="55">
        <v>11.21</v>
      </c>
      <c r="G33" s="42">
        <f t="shared" si="1"/>
        <v>179.36</v>
      </c>
      <c r="H33" s="42">
        <f t="shared" si="0"/>
        <v>219.662192</v>
      </c>
    </row>
    <row r="34" spans="1:9" ht="30">
      <c r="A34" s="37" t="s">
        <v>62</v>
      </c>
      <c r="B34" s="38" t="s">
        <v>63</v>
      </c>
      <c r="C34" s="51" t="s">
        <v>64</v>
      </c>
      <c r="D34" s="40" t="s">
        <v>65</v>
      </c>
      <c r="E34" s="40">
        <f>20+20+101.23+15+15+10.81+10+10</f>
        <v>202.04000000000002</v>
      </c>
      <c r="F34" s="52">
        <v>7.22</v>
      </c>
      <c r="G34" s="42">
        <f t="shared" si="1"/>
        <v>1458.7288000000001</v>
      </c>
      <c r="H34" s="42">
        <f t="shared" si="0"/>
        <v>1786.5051613599999</v>
      </c>
    </row>
    <row r="35" spans="1:9">
      <c r="A35" s="37" t="s">
        <v>66</v>
      </c>
      <c r="B35" s="38" t="s">
        <v>67</v>
      </c>
      <c r="C35" s="51" t="s">
        <v>68</v>
      </c>
      <c r="D35" s="40" t="s">
        <v>65</v>
      </c>
      <c r="E35" s="40">
        <f>3+4+1+3+3+2.3+3+3</f>
        <v>22.3</v>
      </c>
      <c r="F35" s="52">
        <v>65.02</v>
      </c>
      <c r="G35" s="42">
        <f t="shared" si="1"/>
        <v>1449.9459999999999</v>
      </c>
      <c r="H35" s="42">
        <f t="shared" si="0"/>
        <v>1775.7488661999998</v>
      </c>
    </row>
    <row r="36" spans="1:9" ht="30.6">
      <c r="A36" s="37" t="s">
        <v>69</v>
      </c>
      <c r="B36" s="38" t="s">
        <v>70</v>
      </c>
      <c r="C36" s="51" t="s">
        <v>71</v>
      </c>
      <c r="D36" s="40" t="s">
        <v>65</v>
      </c>
      <c r="E36" s="40">
        <f>80</f>
        <v>80</v>
      </c>
      <c r="F36" s="52">
        <v>19.59</v>
      </c>
      <c r="G36" s="42">
        <f t="shared" si="1"/>
        <v>1567.2</v>
      </c>
      <c r="H36" s="42">
        <f t="shared" si="0"/>
        <v>1919.3498399999999</v>
      </c>
    </row>
    <row r="37" spans="1:9" ht="15.6">
      <c r="A37" s="46" t="s">
        <v>72</v>
      </c>
      <c r="B37" s="56" t="s">
        <v>73</v>
      </c>
      <c r="C37" s="56"/>
      <c r="D37" s="56"/>
      <c r="E37" s="48"/>
      <c r="F37" s="49"/>
      <c r="G37" s="50">
        <f>SUM(G38:G51)</f>
        <v>143651.2078</v>
      </c>
      <c r="H37" s="50">
        <f t="shared" si="0"/>
        <v>175929.63419265999</v>
      </c>
    </row>
    <row r="38" spans="1:9">
      <c r="A38" s="37" t="s">
        <v>74</v>
      </c>
      <c r="B38" s="38" t="s">
        <v>75</v>
      </c>
      <c r="C38" s="51" t="s">
        <v>76</v>
      </c>
      <c r="D38" s="40" t="s">
        <v>59</v>
      </c>
      <c r="E38" s="57">
        <f>2.56+5+6.62+3.58+3+3+3+3</f>
        <v>29.759999999999998</v>
      </c>
      <c r="F38" s="52">
        <v>37.6</v>
      </c>
      <c r="G38" s="42">
        <f t="shared" ref="G38:G51" si="2">E38*F38</f>
        <v>1118.9759999999999</v>
      </c>
      <c r="H38" s="42">
        <f t="shared" si="0"/>
        <v>1370.4099071999997</v>
      </c>
    </row>
    <row r="39" spans="1:9">
      <c r="A39" s="37" t="s">
        <v>77</v>
      </c>
      <c r="B39" s="38" t="s">
        <v>78</v>
      </c>
      <c r="C39" s="51" t="s">
        <v>79</v>
      </c>
      <c r="D39" s="40" t="s">
        <v>41</v>
      </c>
      <c r="E39" s="57">
        <f>68.3+133.56+176.78+95.4+130+64.87+60+60</f>
        <v>788.91</v>
      </c>
      <c r="F39" s="52">
        <v>7.52</v>
      </c>
      <c r="G39" s="42">
        <f t="shared" si="2"/>
        <v>5932.6031999999996</v>
      </c>
      <c r="H39" s="42">
        <f t="shared" si="0"/>
        <v>7265.659139039999</v>
      </c>
    </row>
    <row r="40" spans="1:9" ht="45">
      <c r="A40" s="37" t="s">
        <v>80</v>
      </c>
      <c r="B40" s="53" t="s">
        <v>81</v>
      </c>
      <c r="C40" s="58" t="s">
        <v>82</v>
      </c>
      <c r="D40" s="40" t="s">
        <v>41</v>
      </c>
      <c r="E40" s="57">
        <f>15+20+44.19+15+30+16.22+20+20</f>
        <v>180.41</v>
      </c>
      <c r="F40" s="52">
        <v>52.1</v>
      </c>
      <c r="G40" s="42">
        <f t="shared" si="2"/>
        <v>9399.3610000000008</v>
      </c>
      <c r="H40" s="42">
        <f t="shared" si="0"/>
        <v>11511.3974167</v>
      </c>
    </row>
    <row r="41" spans="1:9" ht="45">
      <c r="A41" s="37" t="s">
        <v>83</v>
      </c>
      <c r="B41" s="38" t="s">
        <v>84</v>
      </c>
      <c r="C41" s="51" t="s">
        <v>85</v>
      </c>
      <c r="D41" s="40" t="s">
        <v>41</v>
      </c>
      <c r="E41" s="57">
        <f>30+40+88.38+30+60+32.44+40+40</f>
        <v>360.82</v>
      </c>
      <c r="F41" s="52">
        <v>3.46</v>
      </c>
      <c r="G41" s="42">
        <f t="shared" si="2"/>
        <v>1248.4372000000001</v>
      </c>
      <c r="H41" s="42">
        <f t="shared" si="0"/>
        <v>1528.9610388399999</v>
      </c>
    </row>
    <row r="42" spans="1:9" ht="60">
      <c r="A42" s="37" t="s">
        <v>86</v>
      </c>
      <c r="B42" s="38" t="s">
        <v>87</v>
      </c>
      <c r="C42" s="59" t="s">
        <v>88</v>
      </c>
      <c r="D42" s="40" t="s">
        <v>41</v>
      </c>
      <c r="E42" s="57">
        <f>30+40+88.38+30+60+32.44+40+40</f>
        <v>360.82</v>
      </c>
      <c r="F42" s="52">
        <v>30.08</v>
      </c>
      <c r="G42" s="42">
        <f t="shared" si="2"/>
        <v>10853.4656</v>
      </c>
      <c r="H42" s="42">
        <f t="shared" si="0"/>
        <v>13292.239320319999</v>
      </c>
    </row>
    <row r="43" spans="1:9">
      <c r="A43" s="37" t="s">
        <v>89</v>
      </c>
      <c r="B43" s="53" t="s">
        <v>90</v>
      </c>
      <c r="C43" s="58" t="s">
        <v>91</v>
      </c>
      <c r="D43" s="40" t="s">
        <v>41</v>
      </c>
      <c r="E43" s="57">
        <f>30+40+88.38+30+60+32.44+40+40</f>
        <v>360.82</v>
      </c>
      <c r="F43" s="52">
        <v>1.94</v>
      </c>
      <c r="G43" s="42">
        <f t="shared" si="2"/>
        <v>699.99079999999992</v>
      </c>
      <c r="H43" s="42">
        <f t="shared" si="0"/>
        <v>857.2787327599998</v>
      </c>
    </row>
    <row r="44" spans="1:9">
      <c r="A44" s="37" t="s">
        <v>92</v>
      </c>
      <c r="B44" s="38" t="s">
        <v>93</v>
      </c>
      <c r="C44" s="51" t="s">
        <v>94</v>
      </c>
      <c r="D44" s="40" t="s">
        <v>41</v>
      </c>
      <c r="E44" s="57">
        <f>76+115+607.43+75.5+80+45+80+80</f>
        <v>1158.9299999999998</v>
      </c>
      <c r="F44" s="52">
        <v>11.99</v>
      </c>
      <c r="G44" s="42">
        <f t="shared" si="2"/>
        <v>13895.570699999998</v>
      </c>
      <c r="H44" s="42">
        <f t="shared" si="0"/>
        <v>17017.905436289995</v>
      </c>
    </row>
    <row r="45" spans="1:9">
      <c r="A45" s="37" t="s">
        <v>95</v>
      </c>
      <c r="B45" s="38" t="s">
        <v>96</v>
      </c>
      <c r="C45" s="51" t="s">
        <v>97</v>
      </c>
      <c r="D45" s="40" t="s">
        <v>41</v>
      </c>
      <c r="E45" s="57">
        <f>341.52+667.8+1518.57+477+521.85+324.36+300.38+300.38</f>
        <v>4451.8599999999997</v>
      </c>
      <c r="F45" s="52">
        <v>11.54</v>
      </c>
      <c r="G45" s="42">
        <f t="shared" si="2"/>
        <v>51374.46439999999</v>
      </c>
      <c r="H45" s="42">
        <f t="shared" si="0"/>
        <v>62918.306550679983</v>
      </c>
    </row>
    <row r="46" spans="1:9" ht="30">
      <c r="A46" s="37" t="s">
        <v>98</v>
      </c>
      <c r="B46" s="38" t="s">
        <v>99</v>
      </c>
      <c r="C46" s="51" t="s">
        <v>100</v>
      </c>
      <c r="D46" s="40" t="s">
        <v>41</v>
      </c>
      <c r="E46" s="57">
        <f>31.74+45+94.06+27.05+10+35.08+10+10</f>
        <v>262.93</v>
      </c>
      <c r="F46" s="52">
        <v>15.98</v>
      </c>
      <c r="G46" s="42">
        <f t="shared" si="2"/>
        <v>4201.6214</v>
      </c>
      <c r="H46" s="42">
        <f t="shared" si="0"/>
        <v>5145.7257285799997</v>
      </c>
    </row>
    <row r="47" spans="1:9">
      <c r="A47" s="37" t="s">
        <v>101</v>
      </c>
      <c r="B47" s="38" t="s">
        <v>102</v>
      </c>
      <c r="C47" s="51" t="s">
        <v>103</v>
      </c>
      <c r="D47" s="40" t="s">
        <v>41</v>
      </c>
      <c r="E47" s="57">
        <f>211.6+208.8+14.1+180.25+527.68+233.88+186.95+186.95</f>
        <v>1750.21</v>
      </c>
      <c r="F47" s="52">
        <v>13.04</v>
      </c>
      <c r="G47" s="42">
        <f t="shared" si="2"/>
        <v>22822.738399999998</v>
      </c>
      <c r="H47" s="42">
        <f t="shared" si="0"/>
        <v>27951.007718479996</v>
      </c>
      <c r="I47" s="60"/>
    </row>
    <row r="48" spans="1:9">
      <c r="A48" s="37" t="s">
        <v>104</v>
      </c>
      <c r="B48" s="53" t="s">
        <v>105</v>
      </c>
      <c r="C48" s="51" t="s">
        <v>106</v>
      </c>
      <c r="D48" s="40" t="s">
        <v>41</v>
      </c>
      <c r="E48" s="57">
        <f>54.81+434.31+6.12+327+150+172.32+172.76+172.76</f>
        <v>1490.08</v>
      </c>
      <c r="F48" s="52">
        <v>6.99</v>
      </c>
      <c r="G48" s="42">
        <f t="shared" si="2"/>
        <v>10415.6592</v>
      </c>
      <c r="H48" s="42">
        <f t="shared" si="0"/>
        <v>12756.057822239998</v>
      </c>
    </row>
    <row r="49" spans="1:256" ht="30">
      <c r="A49" s="37" t="s">
        <v>107</v>
      </c>
      <c r="B49" s="53" t="s">
        <v>43</v>
      </c>
      <c r="C49" s="51" t="s">
        <v>108</v>
      </c>
      <c r="D49" s="40" t="s">
        <v>41</v>
      </c>
      <c r="E49" s="57">
        <f>10+10+24.9+15+10+13.89+10+10</f>
        <v>103.79</v>
      </c>
      <c r="F49" s="54">
        <v>12</v>
      </c>
      <c r="G49" s="42">
        <f t="shared" si="2"/>
        <v>1245.48</v>
      </c>
      <c r="H49" s="42">
        <f t="shared" si="0"/>
        <v>1525.339356</v>
      </c>
    </row>
    <row r="50" spans="1:256" ht="45">
      <c r="A50" s="37" t="s">
        <v>109</v>
      </c>
      <c r="B50" s="53" t="s">
        <v>110</v>
      </c>
      <c r="C50" s="61" t="s">
        <v>111</v>
      </c>
      <c r="D50" s="40" t="s">
        <v>41</v>
      </c>
      <c r="E50" s="57">
        <f>10+10+24.9+15+10+13.89+10+10</f>
        <v>103.79</v>
      </c>
      <c r="F50" s="52">
        <v>63.81</v>
      </c>
      <c r="G50" s="42">
        <f t="shared" si="2"/>
        <v>6622.8399000000009</v>
      </c>
      <c r="H50" s="42">
        <f t="shared" si="0"/>
        <v>8110.9920255300003</v>
      </c>
    </row>
    <row r="51" spans="1:256" ht="30">
      <c r="A51" s="37" t="s">
        <v>112</v>
      </c>
      <c r="B51" s="53" t="s">
        <v>113</v>
      </c>
      <c r="C51" s="62" t="s">
        <v>114</v>
      </c>
      <c r="D51" s="40" t="s">
        <v>65</v>
      </c>
      <c r="E51" s="57">
        <f>400</f>
        <v>400</v>
      </c>
      <c r="F51" s="52">
        <v>9.5500000000000007</v>
      </c>
      <c r="G51" s="42">
        <f t="shared" si="2"/>
        <v>3820.0000000000005</v>
      </c>
      <c r="H51" s="42">
        <f t="shared" si="0"/>
        <v>4678.3540000000003</v>
      </c>
    </row>
    <row r="52" spans="1:256" ht="15.6">
      <c r="A52" s="35" t="s">
        <v>115</v>
      </c>
      <c r="B52" s="43" t="s">
        <v>116</v>
      </c>
      <c r="C52" s="43"/>
      <c r="D52" s="43"/>
      <c r="E52" s="44"/>
      <c r="F52" s="45"/>
      <c r="G52" s="36">
        <f>SUM(G53)</f>
        <v>11349.527899999999</v>
      </c>
      <c r="H52" s="36">
        <f t="shared" si="0"/>
        <v>13899.766819129998</v>
      </c>
    </row>
    <row r="53" spans="1:256" ht="15.6">
      <c r="A53" s="46" t="s">
        <v>117</v>
      </c>
      <c r="B53" s="56" t="s">
        <v>116</v>
      </c>
      <c r="C53" s="56"/>
      <c r="D53" s="56"/>
      <c r="E53" s="48"/>
      <c r="F53" s="49"/>
      <c r="G53" s="50">
        <f>G54+G55+G56+G57+G58+G59</f>
        <v>11349.527899999999</v>
      </c>
      <c r="H53" s="50">
        <f t="shared" si="0"/>
        <v>13899.766819129998</v>
      </c>
    </row>
    <row r="54" spans="1:256" s="67" customFormat="1">
      <c r="A54" s="63" t="s">
        <v>118</v>
      </c>
      <c r="B54" s="63">
        <v>85327</v>
      </c>
      <c r="C54" s="64" t="s">
        <v>119</v>
      </c>
      <c r="D54" s="65" t="s">
        <v>41</v>
      </c>
      <c r="E54" s="65">
        <f>10+26.48</f>
        <v>36.480000000000004</v>
      </c>
      <c r="F54" s="41">
        <v>82.14</v>
      </c>
      <c r="G54" s="66">
        <f>F54*E54</f>
        <v>2996.4672000000005</v>
      </c>
      <c r="H54" s="66">
        <f t="shared" ref="H54:H85" si="3">G54*(1+$H$19)</f>
        <v>3669.7733798400004</v>
      </c>
    </row>
    <row r="55" spans="1:256">
      <c r="A55" s="63" t="s">
        <v>120</v>
      </c>
      <c r="B55" s="38" t="s">
        <v>121</v>
      </c>
      <c r="C55" s="51" t="s">
        <v>122</v>
      </c>
      <c r="D55" s="40" t="s">
        <v>41</v>
      </c>
      <c r="E55" s="40">
        <f>10+26.48</f>
        <v>36.480000000000004</v>
      </c>
      <c r="F55" s="41">
        <v>21.46</v>
      </c>
      <c r="G55" s="42">
        <f>E55*F55</f>
        <v>782.86080000000015</v>
      </c>
      <c r="H55" s="42">
        <f t="shared" si="3"/>
        <v>958.76962176000006</v>
      </c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7"/>
      <c r="DS55" s="67"/>
      <c r="DT55" s="67"/>
      <c r="DU55" s="67"/>
      <c r="DV55" s="67"/>
      <c r="DW55" s="67"/>
      <c r="DX55" s="67"/>
      <c r="DY55" s="67"/>
      <c r="DZ55" s="67"/>
      <c r="EA55" s="67"/>
      <c r="EB55" s="67"/>
      <c r="EC55" s="67"/>
      <c r="ED55" s="67"/>
      <c r="EE55" s="67"/>
      <c r="EF55" s="67"/>
      <c r="EG55" s="67"/>
      <c r="EH55" s="67"/>
      <c r="EI55" s="67"/>
      <c r="EJ55" s="67"/>
      <c r="EK55" s="67"/>
      <c r="EL55" s="67"/>
      <c r="EM55" s="67"/>
      <c r="EN55" s="67"/>
      <c r="EO55" s="67"/>
      <c r="EP55" s="67"/>
      <c r="EQ55" s="67"/>
      <c r="ER55" s="67"/>
      <c r="ES55" s="67"/>
      <c r="ET55" s="67"/>
      <c r="EU55" s="67"/>
      <c r="EV55" s="67"/>
      <c r="EW55" s="67"/>
      <c r="EX55" s="67"/>
      <c r="EY55" s="67"/>
      <c r="EZ55" s="67"/>
      <c r="FA55" s="67"/>
      <c r="FB55" s="67"/>
      <c r="FC55" s="67"/>
      <c r="FD55" s="67"/>
      <c r="FE55" s="67"/>
      <c r="FF55" s="67"/>
      <c r="FG55" s="67"/>
      <c r="FH55" s="67"/>
      <c r="FI55" s="67"/>
      <c r="FJ55" s="67"/>
      <c r="FK55" s="67"/>
      <c r="FL55" s="67"/>
      <c r="FM55" s="67"/>
      <c r="FN55" s="67"/>
      <c r="FO55" s="67"/>
      <c r="FP55" s="67"/>
      <c r="FQ55" s="67"/>
      <c r="FR55" s="67"/>
      <c r="FS55" s="67"/>
      <c r="FT55" s="67"/>
      <c r="FU55" s="67"/>
      <c r="FV55" s="67"/>
      <c r="FW55" s="67"/>
      <c r="FX55" s="67"/>
      <c r="FY55" s="67"/>
      <c r="FZ55" s="67"/>
      <c r="GA55" s="67"/>
      <c r="GB55" s="67"/>
      <c r="GC55" s="67"/>
      <c r="GD55" s="67"/>
      <c r="GE55" s="67"/>
      <c r="GF55" s="67"/>
      <c r="GG55" s="67"/>
      <c r="GH55" s="67"/>
      <c r="GI55" s="67"/>
      <c r="GJ55" s="67"/>
      <c r="GK55" s="67"/>
      <c r="GL55" s="67"/>
      <c r="GM55" s="67"/>
      <c r="GN55" s="67"/>
      <c r="GO55" s="67"/>
      <c r="GP55" s="67"/>
      <c r="GQ55" s="67"/>
      <c r="GR55" s="67"/>
      <c r="GS55" s="67"/>
      <c r="GT55" s="67"/>
      <c r="GU55" s="67"/>
      <c r="GV55" s="67"/>
      <c r="GW55" s="67"/>
      <c r="GX55" s="67"/>
      <c r="GY55" s="67"/>
      <c r="GZ55" s="67"/>
      <c r="HA55" s="67"/>
      <c r="HB55" s="67"/>
      <c r="HC55" s="67"/>
      <c r="HD55" s="67"/>
      <c r="HE55" s="67"/>
      <c r="HF55" s="67"/>
      <c r="HG55" s="67"/>
      <c r="HH55" s="67"/>
      <c r="HI55" s="67"/>
      <c r="HJ55" s="67"/>
      <c r="HK55" s="67"/>
      <c r="HL55" s="67"/>
      <c r="HM55" s="67"/>
      <c r="HN55" s="67"/>
      <c r="HO55" s="67"/>
      <c r="HP55" s="67"/>
      <c r="HQ55" s="67"/>
      <c r="HR55" s="67"/>
      <c r="HS55" s="67"/>
      <c r="HT55" s="67"/>
      <c r="HU55" s="67"/>
      <c r="HV55" s="67"/>
      <c r="HW55" s="67"/>
      <c r="HX55" s="67"/>
      <c r="HY55" s="67"/>
      <c r="HZ55" s="67"/>
      <c r="IA55" s="67"/>
      <c r="IB55" s="67"/>
      <c r="IC55" s="67"/>
      <c r="ID55" s="67"/>
      <c r="IE55" s="67"/>
      <c r="IF55" s="67"/>
      <c r="IG55" s="67"/>
      <c r="IH55" s="67"/>
      <c r="II55" s="67"/>
      <c r="IJ55" s="67"/>
      <c r="IK55" s="67"/>
      <c r="IL55" s="67"/>
      <c r="IM55" s="67"/>
      <c r="IN55" s="67"/>
      <c r="IO55" s="67"/>
      <c r="IP55" s="67"/>
      <c r="IQ55" s="67"/>
      <c r="IR55" s="67"/>
      <c r="IS55" s="67"/>
      <c r="IT55" s="67"/>
      <c r="IU55" s="67"/>
      <c r="IV55" s="67"/>
    </row>
    <row r="56" spans="1:256">
      <c r="A56" s="63" t="s">
        <v>123</v>
      </c>
      <c r="B56" s="38" t="s">
        <v>124</v>
      </c>
      <c r="C56" s="51" t="s">
        <v>125</v>
      </c>
      <c r="D56" s="40" t="s">
        <v>41</v>
      </c>
      <c r="E56" s="40">
        <f>15+26.48</f>
        <v>41.480000000000004</v>
      </c>
      <c r="F56" s="41">
        <v>12.58</v>
      </c>
      <c r="G56" s="42">
        <f>E56*F56</f>
        <v>521.8184</v>
      </c>
      <c r="H56" s="42">
        <f t="shared" si="3"/>
        <v>639.07099447999997</v>
      </c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/>
      <c r="EV56" s="67"/>
      <c r="EW56" s="67"/>
      <c r="EX56" s="67"/>
      <c r="EY56" s="67"/>
      <c r="EZ56" s="67"/>
      <c r="FA56" s="67"/>
      <c r="FB56" s="67"/>
      <c r="FC56" s="67"/>
      <c r="FD56" s="67"/>
      <c r="FE56" s="67"/>
      <c r="FF56" s="67"/>
      <c r="FG56" s="67"/>
      <c r="FH56" s="67"/>
      <c r="FI56" s="67"/>
      <c r="FJ56" s="67"/>
      <c r="FK56" s="67"/>
      <c r="FL56" s="67"/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  <c r="GE56" s="67"/>
      <c r="GF56" s="67"/>
      <c r="GG56" s="67"/>
      <c r="GH56" s="67"/>
      <c r="GI56" s="67"/>
      <c r="GJ56" s="67"/>
      <c r="GK56" s="67"/>
      <c r="GL56" s="67"/>
      <c r="GM56" s="67"/>
      <c r="GN56" s="67"/>
      <c r="GO56" s="67"/>
      <c r="GP56" s="67"/>
      <c r="GQ56" s="67"/>
      <c r="GR56" s="67"/>
      <c r="GS56" s="67"/>
      <c r="GT56" s="67"/>
      <c r="GU56" s="67"/>
      <c r="GV56" s="67"/>
      <c r="GW56" s="67"/>
      <c r="GX56" s="67"/>
      <c r="GY56" s="67"/>
      <c r="GZ56" s="67"/>
      <c r="HA56" s="67"/>
      <c r="HB56" s="67"/>
      <c r="HC56" s="67"/>
      <c r="HD56" s="67"/>
      <c r="HE56" s="67"/>
      <c r="HF56" s="67"/>
      <c r="HG56" s="67"/>
      <c r="HH56" s="67"/>
      <c r="HI56" s="67"/>
      <c r="HJ56" s="67"/>
      <c r="HK56" s="67"/>
      <c r="HL56" s="67"/>
      <c r="HM56" s="67"/>
      <c r="HN56" s="67"/>
      <c r="HO56" s="67"/>
      <c r="HP56" s="67"/>
      <c r="HQ56" s="67"/>
      <c r="HR56" s="67"/>
      <c r="HS56" s="67"/>
      <c r="HT56" s="67"/>
      <c r="HU56" s="67"/>
      <c r="HV56" s="67"/>
      <c r="HW56" s="67"/>
      <c r="HX56" s="67"/>
      <c r="HY56" s="67"/>
      <c r="HZ56" s="67"/>
      <c r="IA56" s="67"/>
      <c r="IB56" s="67"/>
      <c r="IC56" s="67"/>
      <c r="ID56" s="67"/>
      <c r="IE56" s="67"/>
      <c r="IF56" s="67"/>
      <c r="IG56" s="67"/>
      <c r="IH56" s="67"/>
      <c r="II56" s="67"/>
      <c r="IJ56" s="67"/>
      <c r="IK56" s="67"/>
      <c r="IL56" s="67"/>
      <c r="IM56" s="67"/>
      <c r="IN56" s="67"/>
      <c r="IO56" s="67"/>
      <c r="IP56" s="67"/>
      <c r="IQ56" s="67"/>
      <c r="IR56" s="67"/>
      <c r="IS56" s="67"/>
      <c r="IT56" s="67"/>
      <c r="IU56" s="67"/>
      <c r="IV56" s="67"/>
    </row>
    <row r="57" spans="1:256">
      <c r="A57" s="63" t="s">
        <v>126</v>
      </c>
      <c r="B57" s="38" t="s">
        <v>127</v>
      </c>
      <c r="C57" s="51" t="s">
        <v>128</v>
      </c>
      <c r="D57" s="40" t="s">
        <v>41</v>
      </c>
      <c r="E57" s="40">
        <f>97.7+26.48</f>
        <v>124.18</v>
      </c>
      <c r="F57" s="41">
        <v>6.55</v>
      </c>
      <c r="G57" s="42">
        <f>E57*F57</f>
        <v>813.37900000000002</v>
      </c>
      <c r="H57" s="42">
        <f t="shared" si="3"/>
        <v>996.1452612999999</v>
      </c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  <c r="DV57" s="67"/>
      <c r="DW57" s="67"/>
      <c r="DX57" s="67"/>
      <c r="DY57" s="67"/>
      <c r="DZ57" s="67"/>
      <c r="EA57" s="67"/>
      <c r="EB57" s="67"/>
      <c r="EC57" s="67"/>
      <c r="ED57" s="67"/>
      <c r="EE57" s="67"/>
      <c r="EF57" s="67"/>
      <c r="EG57" s="67"/>
      <c r="EH57" s="67"/>
      <c r="EI57" s="67"/>
      <c r="EJ57" s="67"/>
      <c r="EK57" s="67"/>
      <c r="EL57" s="67"/>
      <c r="EM57" s="67"/>
      <c r="EN57" s="67"/>
      <c r="EO57" s="67"/>
      <c r="EP57" s="67"/>
      <c r="EQ57" s="67"/>
      <c r="ER57" s="67"/>
      <c r="ES57" s="67"/>
      <c r="ET57" s="67"/>
      <c r="EU57" s="67"/>
      <c r="EV57" s="67"/>
      <c r="EW57" s="67"/>
      <c r="EX57" s="67"/>
      <c r="EY57" s="67"/>
      <c r="EZ57" s="67"/>
      <c r="FA57" s="67"/>
      <c r="FB57" s="67"/>
      <c r="FC57" s="67"/>
      <c r="FD57" s="67"/>
      <c r="FE57" s="67"/>
      <c r="FF57" s="67"/>
      <c r="FG57" s="67"/>
      <c r="FH57" s="67"/>
      <c r="FI57" s="67"/>
      <c r="FJ57" s="67"/>
      <c r="FK57" s="67"/>
      <c r="FL57" s="67"/>
      <c r="FM57" s="67"/>
      <c r="FN57" s="67"/>
      <c r="FO57" s="67"/>
      <c r="FP57" s="67"/>
      <c r="FQ57" s="67"/>
      <c r="FR57" s="67"/>
      <c r="FS57" s="67"/>
      <c r="FT57" s="67"/>
      <c r="FU57" s="67"/>
      <c r="FV57" s="67"/>
      <c r="FW57" s="67"/>
      <c r="FX57" s="67"/>
      <c r="FY57" s="67"/>
      <c r="FZ57" s="67"/>
      <c r="GA57" s="67"/>
      <c r="GB57" s="67"/>
      <c r="GC57" s="67"/>
      <c r="GD57" s="67"/>
      <c r="GE57" s="67"/>
      <c r="GF57" s="67"/>
      <c r="GG57" s="67"/>
      <c r="GH57" s="67"/>
      <c r="GI57" s="67"/>
      <c r="GJ57" s="67"/>
      <c r="GK57" s="67"/>
      <c r="GL57" s="67"/>
      <c r="GM57" s="67"/>
      <c r="GN57" s="67"/>
      <c r="GO57" s="67"/>
      <c r="GP57" s="67"/>
      <c r="GQ57" s="67"/>
      <c r="GR57" s="67"/>
      <c r="GS57" s="67"/>
      <c r="GT57" s="67"/>
      <c r="GU57" s="67"/>
      <c r="GV57" s="67"/>
      <c r="GW57" s="67"/>
      <c r="GX57" s="67"/>
      <c r="GY57" s="67"/>
      <c r="GZ57" s="67"/>
      <c r="HA57" s="67"/>
      <c r="HB57" s="67"/>
      <c r="HC57" s="67"/>
      <c r="HD57" s="67"/>
      <c r="HE57" s="67"/>
      <c r="HF57" s="67"/>
      <c r="HG57" s="67"/>
      <c r="HH57" s="67"/>
      <c r="HI57" s="67"/>
      <c r="HJ57" s="67"/>
      <c r="HK57" s="67"/>
      <c r="HL57" s="67"/>
      <c r="HM57" s="67"/>
      <c r="HN57" s="67"/>
      <c r="HO57" s="67"/>
      <c r="HP57" s="67"/>
      <c r="HQ57" s="67"/>
      <c r="HR57" s="67"/>
      <c r="HS57" s="67"/>
      <c r="HT57" s="67"/>
      <c r="HU57" s="67"/>
      <c r="HV57" s="67"/>
      <c r="HW57" s="67"/>
      <c r="HX57" s="67"/>
      <c r="HY57" s="67"/>
      <c r="HZ57" s="67"/>
      <c r="IA57" s="67"/>
      <c r="IB57" s="67"/>
      <c r="IC57" s="67"/>
      <c r="ID57" s="67"/>
      <c r="IE57" s="67"/>
      <c r="IF57" s="67"/>
      <c r="IG57" s="67"/>
      <c r="IH57" s="67"/>
      <c r="II57" s="67"/>
      <c r="IJ57" s="67"/>
      <c r="IK57" s="67"/>
      <c r="IL57" s="67"/>
      <c r="IM57" s="67"/>
      <c r="IN57" s="67"/>
      <c r="IO57" s="67"/>
      <c r="IP57" s="67"/>
      <c r="IQ57" s="67"/>
      <c r="IR57" s="67"/>
      <c r="IS57" s="67"/>
      <c r="IT57" s="67"/>
      <c r="IU57" s="67"/>
      <c r="IV57" s="67"/>
    </row>
    <row r="58" spans="1:256">
      <c r="A58" s="63" t="s">
        <v>129</v>
      </c>
      <c r="B58" s="38" t="s">
        <v>130</v>
      </c>
      <c r="C58" s="51" t="s">
        <v>131</v>
      </c>
      <c r="D58" s="40" t="s">
        <v>41</v>
      </c>
      <c r="E58" s="40">
        <f>18+28+16.5+25+11.35+16+16</f>
        <v>130.85</v>
      </c>
      <c r="F58" s="54">
        <v>45.39</v>
      </c>
      <c r="G58" s="42">
        <f>E58*F58</f>
        <v>5939.2815000000001</v>
      </c>
      <c r="H58" s="42">
        <f t="shared" si="3"/>
        <v>7273.8380530499999</v>
      </c>
    </row>
    <row r="59" spans="1:256" ht="30">
      <c r="A59" s="63" t="s">
        <v>132</v>
      </c>
      <c r="B59" s="38" t="s">
        <v>133</v>
      </c>
      <c r="C59" s="51" t="s">
        <v>134</v>
      </c>
      <c r="D59" s="40" t="s">
        <v>41</v>
      </c>
      <c r="E59" s="40">
        <f>18+28+16.5+25+11.35+16+16</f>
        <v>130.85</v>
      </c>
      <c r="F59" s="66">
        <v>2.2599999999999998</v>
      </c>
      <c r="G59" s="42">
        <f>E59*F59</f>
        <v>295.72099999999995</v>
      </c>
      <c r="H59" s="42">
        <f t="shared" si="3"/>
        <v>362.16950869999988</v>
      </c>
    </row>
    <row r="60" spans="1:256" ht="15.6">
      <c r="A60" s="35" t="s">
        <v>135</v>
      </c>
      <c r="B60" s="43" t="s">
        <v>136</v>
      </c>
      <c r="C60" s="43"/>
      <c r="D60" s="43"/>
      <c r="E60" s="44"/>
      <c r="F60" s="45"/>
      <c r="G60" s="36">
        <f>SUM(G61,G70)</f>
        <v>62158.451900000007</v>
      </c>
      <c r="H60" s="36">
        <f t="shared" si="3"/>
        <v>76125.456041929996</v>
      </c>
    </row>
    <row r="61" spans="1:256" ht="15.6">
      <c r="A61" s="46" t="s">
        <v>137</v>
      </c>
      <c r="B61" s="56" t="s">
        <v>138</v>
      </c>
      <c r="C61" s="56"/>
      <c r="D61" s="56"/>
      <c r="E61" s="48"/>
      <c r="F61" s="49"/>
      <c r="G61" s="50">
        <f>SUM(G62:G69)</f>
        <v>32145.108900000007</v>
      </c>
      <c r="H61" s="50">
        <f t="shared" si="3"/>
        <v>39368.114869830002</v>
      </c>
    </row>
    <row r="62" spans="1:256" ht="45">
      <c r="A62" s="37" t="s">
        <v>139</v>
      </c>
      <c r="B62" s="38" t="s">
        <v>140</v>
      </c>
      <c r="C62" s="61" t="s">
        <v>141</v>
      </c>
      <c r="D62" s="40" t="s">
        <v>23</v>
      </c>
      <c r="E62" s="40">
        <f>1+1+1+1+1+1+1+1</f>
        <v>8</v>
      </c>
      <c r="F62" s="52">
        <v>915.84</v>
      </c>
      <c r="G62" s="42">
        <f t="shared" ref="G62:G69" si="4">E62*F62</f>
        <v>7326.72</v>
      </c>
      <c r="H62" s="42">
        <f t="shared" si="3"/>
        <v>8973.0339839999997</v>
      </c>
    </row>
    <row r="63" spans="1:256" ht="45">
      <c r="A63" s="37" t="s">
        <v>142</v>
      </c>
      <c r="B63" s="38" t="s">
        <v>143</v>
      </c>
      <c r="C63" s="61" t="s">
        <v>144</v>
      </c>
      <c r="D63" s="40" t="s">
        <v>23</v>
      </c>
      <c r="E63" s="40">
        <f>1+2+1+1</f>
        <v>5</v>
      </c>
      <c r="F63" s="52">
        <v>700.25</v>
      </c>
      <c r="G63" s="42">
        <f t="shared" si="4"/>
        <v>3501.25</v>
      </c>
      <c r="H63" s="42">
        <f t="shared" si="3"/>
        <v>4287.9808749999993</v>
      </c>
    </row>
    <row r="64" spans="1:256" ht="45">
      <c r="A64" s="37" t="s">
        <v>145</v>
      </c>
      <c r="B64" s="38" t="s">
        <v>146</v>
      </c>
      <c r="C64" s="61" t="s">
        <v>147</v>
      </c>
      <c r="D64" s="40" t="s">
        <v>23</v>
      </c>
      <c r="E64" s="40">
        <f>1+1+1+1+1+1+1+1</f>
        <v>8</v>
      </c>
      <c r="F64" s="52">
        <v>8.56</v>
      </c>
      <c r="G64" s="42">
        <f t="shared" si="4"/>
        <v>68.48</v>
      </c>
      <c r="H64" s="42">
        <f t="shared" si="3"/>
        <v>83.867456000000004</v>
      </c>
    </row>
    <row r="65" spans="1:8">
      <c r="A65" s="37" t="s">
        <v>148</v>
      </c>
      <c r="B65" s="38" t="s">
        <v>149</v>
      </c>
      <c r="C65" s="61" t="s">
        <v>150</v>
      </c>
      <c r="D65" s="40" t="s">
        <v>41</v>
      </c>
      <c r="E65" s="40">
        <f>13.12+20.48+40.42+21+66.94+19.53+72.85+72.85</f>
        <v>327.19</v>
      </c>
      <c r="F65" s="52">
        <v>18.72</v>
      </c>
      <c r="G65" s="42">
        <f t="shared" si="4"/>
        <v>6124.9967999999999</v>
      </c>
      <c r="H65" s="42">
        <f t="shared" si="3"/>
        <v>7501.2835809599992</v>
      </c>
    </row>
    <row r="66" spans="1:8">
      <c r="A66" s="37" t="s">
        <v>151</v>
      </c>
      <c r="B66" s="38" t="s">
        <v>152</v>
      </c>
      <c r="C66" s="51" t="s">
        <v>153</v>
      </c>
      <c r="D66" s="40" t="s">
        <v>41</v>
      </c>
      <c r="E66" s="40">
        <f>13.12+22+141.75+21+30+21.11+30+30</f>
        <v>308.98</v>
      </c>
      <c r="F66" s="52">
        <v>22.47</v>
      </c>
      <c r="G66" s="42">
        <f t="shared" si="4"/>
        <v>6942.7806</v>
      </c>
      <c r="H66" s="42">
        <f t="shared" si="3"/>
        <v>8502.8234008199997</v>
      </c>
    </row>
    <row r="67" spans="1:8" ht="30">
      <c r="A67" s="37" t="s">
        <v>154</v>
      </c>
      <c r="B67" s="38" t="s">
        <v>155</v>
      </c>
      <c r="C67" s="51" t="s">
        <v>156</v>
      </c>
      <c r="D67" s="40" t="s">
        <v>41</v>
      </c>
      <c r="E67" s="40">
        <f>53.07+49.88+141.75+21+66.94+21.11+72.85+72.85</f>
        <v>499.45000000000005</v>
      </c>
      <c r="F67" s="52">
        <v>8.8699999999999992</v>
      </c>
      <c r="G67" s="42">
        <f t="shared" si="4"/>
        <v>4430.1215000000002</v>
      </c>
      <c r="H67" s="42">
        <f t="shared" si="3"/>
        <v>5425.56980105</v>
      </c>
    </row>
    <row r="68" spans="1:8">
      <c r="A68" s="37" t="s">
        <v>157</v>
      </c>
      <c r="B68" s="53" t="s">
        <v>158</v>
      </c>
      <c r="C68" s="61" t="s">
        <v>159</v>
      </c>
      <c r="D68" s="40" t="s">
        <v>23</v>
      </c>
      <c r="E68" s="40">
        <f>4+3+4+3+3+3+3+3</f>
        <v>26</v>
      </c>
      <c r="F68" s="52">
        <v>72.13</v>
      </c>
      <c r="G68" s="42">
        <f t="shared" si="4"/>
        <v>1875.3799999999999</v>
      </c>
      <c r="H68" s="42">
        <f t="shared" si="3"/>
        <v>2296.7778859999999</v>
      </c>
    </row>
    <row r="69" spans="1:8" ht="30">
      <c r="A69" s="68" t="s">
        <v>160</v>
      </c>
      <c r="B69" s="53" t="s">
        <v>161</v>
      </c>
      <c r="C69" s="61" t="s">
        <v>162</v>
      </c>
      <c r="D69" s="65" t="s">
        <v>23</v>
      </c>
      <c r="E69" s="65">
        <f>4+3+4+3+3+3+3+3</f>
        <v>26</v>
      </c>
      <c r="F69" s="41">
        <v>72.13</v>
      </c>
      <c r="G69" s="66">
        <f t="shared" si="4"/>
        <v>1875.3799999999999</v>
      </c>
      <c r="H69" s="66">
        <f t="shared" si="3"/>
        <v>2296.7778859999999</v>
      </c>
    </row>
    <row r="70" spans="1:8" ht="15.6">
      <c r="A70" s="46" t="s">
        <v>163</v>
      </c>
      <c r="B70" s="56" t="s">
        <v>164</v>
      </c>
      <c r="C70" s="56"/>
      <c r="D70" s="56"/>
      <c r="E70" s="48"/>
      <c r="F70" s="49"/>
      <c r="G70" s="50">
        <f>SUM(G71:G73)</f>
        <v>30013.343000000001</v>
      </c>
      <c r="H70" s="50">
        <f t="shared" si="3"/>
        <v>36757.341172100001</v>
      </c>
    </row>
    <row r="71" spans="1:8" ht="30">
      <c r="A71" s="37" t="s">
        <v>165</v>
      </c>
      <c r="B71" s="38" t="s">
        <v>166</v>
      </c>
      <c r="C71" s="51" t="s">
        <v>167</v>
      </c>
      <c r="D71" s="40" t="s">
        <v>41</v>
      </c>
      <c r="E71" s="40">
        <f>55.54+94.44+54.32+78.93+50.98+58.32+46.82+46.82</f>
        <v>486.17</v>
      </c>
      <c r="F71" s="52">
        <v>9.09</v>
      </c>
      <c r="G71" s="42">
        <f>F71*E71</f>
        <v>4419.2853000000005</v>
      </c>
      <c r="H71" s="42">
        <f t="shared" si="3"/>
        <v>5412.29870691</v>
      </c>
    </row>
    <row r="72" spans="1:8" ht="30">
      <c r="A72" s="37" t="s">
        <v>168</v>
      </c>
      <c r="B72" s="38" t="s">
        <v>169</v>
      </c>
      <c r="C72" s="51" t="s">
        <v>170</v>
      </c>
      <c r="D72" s="40" t="s">
        <v>41</v>
      </c>
      <c r="E72" s="40">
        <f>55.54+94.44+54.32+78.93+50.98+58.32+46.82+46.82</f>
        <v>486.17</v>
      </c>
      <c r="F72" s="52">
        <v>37.81</v>
      </c>
      <c r="G72" s="42">
        <f>E72*F72</f>
        <v>18382.0877</v>
      </c>
      <c r="H72" s="42">
        <f t="shared" si="3"/>
        <v>22512.542806189998</v>
      </c>
    </row>
    <row r="73" spans="1:8">
      <c r="A73" s="37" t="s">
        <v>171</v>
      </c>
      <c r="B73" s="38" t="s">
        <v>133</v>
      </c>
      <c r="C73" s="51" t="s">
        <v>172</v>
      </c>
      <c r="D73" s="40" t="s">
        <v>23</v>
      </c>
      <c r="E73" s="40">
        <f>1+1+2+1+1+1+1+1</f>
        <v>9</v>
      </c>
      <c r="F73" s="52">
        <v>801.33</v>
      </c>
      <c r="G73" s="42">
        <f>F73*E73</f>
        <v>7211.97</v>
      </c>
      <c r="H73" s="42">
        <f t="shared" si="3"/>
        <v>8832.4996589999992</v>
      </c>
    </row>
    <row r="74" spans="1:8" ht="15.6">
      <c r="A74" s="35" t="s">
        <v>173</v>
      </c>
      <c r="B74" s="43" t="s">
        <v>174</v>
      </c>
      <c r="C74" s="43"/>
      <c r="D74" s="43"/>
      <c r="E74" s="44"/>
      <c r="F74" s="45"/>
      <c r="G74" s="36">
        <f>SUM(G75)</f>
        <v>65411.790000000015</v>
      </c>
      <c r="H74" s="36">
        <f t="shared" si="3"/>
        <v>80109.81921300001</v>
      </c>
    </row>
    <row r="75" spans="1:8" ht="15.6">
      <c r="A75" s="46" t="s">
        <v>175</v>
      </c>
      <c r="B75" s="56" t="s">
        <v>176</v>
      </c>
      <c r="C75" s="56"/>
      <c r="D75" s="56"/>
      <c r="E75" s="48"/>
      <c r="F75" s="49"/>
      <c r="G75" s="50">
        <f>SUM(G76:G101)</f>
        <v>65411.790000000015</v>
      </c>
      <c r="H75" s="50">
        <f t="shared" si="3"/>
        <v>80109.81921300001</v>
      </c>
    </row>
    <row r="76" spans="1:8">
      <c r="A76" s="37" t="s">
        <v>177</v>
      </c>
      <c r="B76" s="38" t="s">
        <v>178</v>
      </c>
      <c r="C76" s="51" t="s">
        <v>179</v>
      </c>
      <c r="D76" s="40" t="s">
        <v>23</v>
      </c>
      <c r="E76" s="40">
        <f>18+7+30+12+20+7+15+15</f>
        <v>124</v>
      </c>
      <c r="F76" s="41">
        <v>12.19</v>
      </c>
      <c r="G76" s="42">
        <f t="shared" ref="G76:G101" si="5">E76*F76</f>
        <v>1511.56</v>
      </c>
      <c r="H76" s="42">
        <f t="shared" si="3"/>
        <v>1851.2075319999997</v>
      </c>
    </row>
    <row r="77" spans="1:8">
      <c r="A77" s="37" t="s">
        <v>180</v>
      </c>
      <c r="B77" s="38" t="s">
        <v>181</v>
      </c>
      <c r="C77" s="51" t="s">
        <v>182</v>
      </c>
      <c r="D77" s="40" t="s">
        <v>23</v>
      </c>
      <c r="E77" s="40">
        <f>13+11+18+10+15+8+10+10</f>
        <v>95</v>
      </c>
      <c r="F77" s="41">
        <v>4.97</v>
      </c>
      <c r="G77" s="42">
        <f t="shared" si="5"/>
        <v>472.15</v>
      </c>
      <c r="H77" s="42">
        <f t="shared" si="3"/>
        <v>578.24210499999992</v>
      </c>
    </row>
    <row r="78" spans="1:8">
      <c r="A78" s="37" t="s">
        <v>183</v>
      </c>
      <c r="B78" s="38" t="s">
        <v>184</v>
      </c>
      <c r="C78" s="51" t="s">
        <v>185</v>
      </c>
      <c r="D78" s="40" t="s">
        <v>23</v>
      </c>
      <c r="E78" s="40">
        <f>3+3+6+10+10+2+2+2</f>
        <v>38</v>
      </c>
      <c r="F78" s="41">
        <v>24.46</v>
      </c>
      <c r="G78" s="42">
        <f t="shared" si="5"/>
        <v>929.48</v>
      </c>
      <c r="H78" s="42">
        <f t="shared" si="3"/>
        <v>1138.3341559999999</v>
      </c>
    </row>
    <row r="79" spans="1:8">
      <c r="A79" s="37" t="s">
        <v>186</v>
      </c>
      <c r="B79" s="38" t="s">
        <v>187</v>
      </c>
      <c r="C79" s="51" t="s">
        <v>188</v>
      </c>
      <c r="D79" s="40" t="s">
        <v>23</v>
      </c>
      <c r="E79" s="40">
        <f>10+12+25+15+16+6+19+19</f>
        <v>122</v>
      </c>
      <c r="F79" s="41">
        <v>32.47</v>
      </c>
      <c r="G79" s="42">
        <f t="shared" si="5"/>
        <v>3961.3399999999997</v>
      </c>
      <c r="H79" s="42">
        <f t="shared" si="3"/>
        <v>4851.453097999999</v>
      </c>
    </row>
    <row r="80" spans="1:8">
      <c r="A80" s="37" t="s">
        <v>189</v>
      </c>
      <c r="B80" s="69">
        <v>83469</v>
      </c>
      <c r="C80" s="51" t="s">
        <v>190</v>
      </c>
      <c r="D80" s="40" t="s">
        <v>23</v>
      </c>
      <c r="E80" s="40">
        <f>20+12+96+24+32+7+25+25</f>
        <v>241</v>
      </c>
      <c r="F80" s="41">
        <v>8.17</v>
      </c>
      <c r="G80" s="42">
        <f t="shared" si="5"/>
        <v>1968.97</v>
      </c>
      <c r="H80" s="42">
        <f t="shared" si="3"/>
        <v>2411.397559</v>
      </c>
    </row>
    <row r="81" spans="1:8">
      <c r="A81" s="37" t="s">
        <v>191</v>
      </c>
      <c r="B81" s="69">
        <v>83468</v>
      </c>
      <c r="C81" s="51" t="s">
        <v>192</v>
      </c>
      <c r="D81" s="40" t="s">
        <v>23</v>
      </c>
      <c r="E81" s="40">
        <f>6+6+12+18+15+4+5+5</f>
        <v>71</v>
      </c>
      <c r="F81" s="41">
        <v>8.17</v>
      </c>
      <c r="G81" s="42">
        <f t="shared" si="5"/>
        <v>580.07000000000005</v>
      </c>
      <c r="H81" s="42">
        <f t="shared" si="3"/>
        <v>710.41172900000004</v>
      </c>
    </row>
    <row r="82" spans="1:8" ht="30">
      <c r="A82" s="37" t="s">
        <v>193</v>
      </c>
      <c r="B82" s="69">
        <v>91953</v>
      </c>
      <c r="C82" s="51" t="s">
        <v>194</v>
      </c>
      <c r="D82" s="40" t="s">
        <v>23</v>
      </c>
      <c r="E82" s="40">
        <f>1+3+30+4+3+2+3+3</f>
        <v>49</v>
      </c>
      <c r="F82" s="41">
        <v>20.61</v>
      </c>
      <c r="G82" s="42">
        <f t="shared" si="5"/>
        <v>1009.89</v>
      </c>
      <c r="H82" s="42">
        <f t="shared" si="3"/>
        <v>1236.812283</v>
      </c>
    </row>
    <row r="83" spans="1:8" ht="30">
      <c r="A83" s="37" t="s">
        <v>195</v>
      </c>
      <c r="B83" s="69">
        <v>91959</v>
      </c>
      <c r="C83" s="51" t="s">
        <v>196</v>
      </c>
      <c r="D83" s="40" t="s">
        <v>23</v>
      </c>
      <c r="E83" s="40">
        <f>1+2+12+5+1+4+1+1</f>
        <v>27</v>
      </c>
      <c r="F83" s="41">
        <v>32.65</v>
      </c>
      <c r="G83" s="42">
        <f t="shared" si="5"/>
        <v>881.55</v>
      </c>
      <c r="H83" s="42">
        <f t="shared" si="3"/>
        <v>1079.6342849999999</v>
      </c>
    </row>
    <row r="84" spans="1:8" ht="30">
      <c r="A84" s="37" t="s">
        <v>197</v>
      </c>
      <c r="B84" s="69" t="s">
        <v>198</v>
      </c>
      <c r="C84" s="51" t="s">
        <v>199</v>
      </c>
      <c r="D84" s="40" t="s">
        <v>23</v>
      </c>
      <c r="E84" s="40">
        <f>1+3+3+4+3+2+2+2</f>
        <v>20</v>
      </c>
      <c r="F84" s="41">
        <v>151.81</v>
      </c>
      <c r="G84" s="42">
        <f t="shared" si="5"/>
        <v>3036.2</v>
      </c>
      <c r="H84" s="42">
        <f t="shared" si="3"/>
        <v>3718.4341399999994</v>
      </c>
    </row>
    <row r="85" spans="1:8" ht="30">
      <c r="A85" s="37" t="s">
        <v>200</v>
      </c>
      <c r="B85" s="69" t="s">
        <v>201</v>
      </c>
      <c r="C85" s="51" t="s">
        <v>202</v>
      </c>
      <c r="D85" s="40" t="s">
        <v>23</v>
      </c>
      <c r="E85" s="40">
        <f>3+8+15+6+8+4+8+8</f>
        <v>60</v>
      </c>
      <c r="F85" s="41">
        <v>207.64</v>
      </c>
      <c r="G85" s="42">
        <f t="shared" si="5"/>
        <v>12458.4</v>
      </c>
      <c r="H85" s="42">
        <f t="shared" si="3"/>
        <v>15257.802479999998</v>
      </c>
    </row>
    <row r="86" spans="1:8">
      <c r="A86" s="37" t="s">
        <v>203</v>
      </c>
      <c r="B86" s="53" t="s">
        <v>204</v>
      </c>
      <c r="C86" s="58" t="s">
        <v>205</v>
      </c>
      <c r="D86" s="40" t="s">
        <v>23</v>
      </c>
      <c r="E86" s="40">
        <f>2+3+2+2+3+1+3+3</f>
        <v>19</v>
      </c>
      <c r="F86" s="66">
        <v>27.29</v>
      </c>
      <c r="G86" s="42">
        <f t="shared" si="5"/>
        <v>518.51</v>
      </c>
      <c r="H86" s="42">
        <f t="shared" ref="H86:H117" si="6">G86*(1+$H$19)</f>
        <v>635.01919699999996</v>
      </c>
    </row>
    <row r="87" spans="1:8" ht="45">
      <c r="A87" s="37" t="s">
        <v>206</v>
      </c>
      <c r="B87" s="69">
        <v>83479</v>
      </c>
      <c r="C87" s="58" t="s">
        <v>207</v>
      </c>
      <c r="D87" s="40" t="s">
        <v>23</v>
      </c>
      <c r="E87" s="40">
        <f>3+4+2+4+3+4+3+3</f>
        <v>26</v>
      </c>
      <c r="F87" s="66">
        <v>223.92</v>
      </c>
      <c r="G87" s="42">
        <f t="shared" si="5"/>
        <v>5821.92</v>
      </c>
      <c r="H87" s="42">
        <f t="shared" si="6"/>
        <v>7130.1054239999994</v>
      </c>
    </row>
    <row r="88" spans="1:8" ht="30">
      <c r="A88" s="37" t="s">
        <v>208</v>
      </c>
      <c r="B88" s="69">
        <v>91836</v>
      </c>
      <c r="C88" s="51" t="s">
        <v>209</v>
      </c>
      <c r="D88" s="40" t="s">
        <v>65</v>
      </c>
      <c r="E88" s="40">
        <f>400</f>
        <v>400</v>
      </c>
      <c r="F88" s="66">
        <v>10.26</v>
      </c>
      <c r="G88" s="42">
        <f t="shared" si="5"/>
        <v>4104</v>
      </c>
      <c r="H88" s="42">
        <f t="shared" si="6"/>
        <v>5026.1687999999995</v>
      </c>
    </row>
    <row r="89" spans="1:8" ht="30">
      <c r="A89" s="37" t="s">
        <v>210</v>
      </c>
      <c r="B89" s="69">
        <v>91856</v>
      </c>
      <c r="C89" s="58" t="s">
        <v>211</v>
      </c>
      <c r="D89" s="40" t="s">
        <v>65</v>
      </c>
      <c r="E89" s="40">
        <f>400</f>
        <v>400</v>
      </c>
      <c r="F89" s="41">
        <v>9.3000000000000007</v>
      </c>
      <c r="G89" s="42">
        <f t="shared" si="5"/>
        <v>3720.0000000000005</v>
      </c>
      <c r="H89" s="42">
        <f t="shared" si="6"/>
        <v>4555.884</v>
      </c>
    </row>
    <row r="90" spans="1:8" ht="30">
      <c r="A90" s="37" t="s">
        <v>212</v>
      </c>
      <c r="B90" s="69">
        <v>91924</v>
      </c>
      <c r="C90" s="58" t="s">
        <v>213</v>
      </c>
      <c r="D90" s="40" t="s">
        <v>65</v>
      </c>
      <c r="E90" s="40">
        <v>800</v>
      </c>
      <c r="F90" s="41">
        <v>2.69</v>
      </c>
      <c r="G90" s="42">
        <f t="shared" si="5"/>
        <v>2152</v>
      </c>
      <c r="H90" s="42">
        <f t="shared" si="6"/>
        <v>2635.5544</v>
      </c>
    </row>
    <row r="91" spans="1:8" ht="30">
      <c r="A91" s="37" t="s">
        <v>214</v>
      </c>
      <c r="B91" s="69">
        <v>91926</v>
      </c>
      <c r="C91" s="58" t="s">
        <v>215</v>
      </c>
      <c r="D91" s="40" t="s">
        <v>65</v>
      </c>
      <c r="E91" s="40">
        <v>800</v>
      </c>
      <c r="F91" s="66">
        <v>4.01</v>
      </c>
      <c r="G91" s="42">
        <f t="shared" si="5"/>
        <v>3208</v>
      </c>
      <c r="H91" s="42">
        <f t="shared" si="6"/>
        <v>3928.8375999999998</v>
      </c>
    </row>
    <row r="92" spans="1:8" ht="30">
      <c r="A92" s="37" t="s">
        <v>216</v>
      </c>
      <c r="B92" s="69">
        <v>91929</v>
      </c>
      <c r="C92" s="58" t="s">
        <v>217</v>
      </c>
      <c r="D92" s="40" t="s">
        <v>65</v>
      </c>
      <c r="E92" s="40">
        <f>400</f>
        <v>400</v>
      </c>
      <c r="F92" s="41">
        <v>7.7</v>
      </c>
      <c r="G92" s="42">
        <f t="shared" si="5"/>
        <v>3080</v>
      </c>
      <c r="H92" s="42">
        <f t="shared" si="6"/>
        <v>3772.0759999999996</v>
      </c>
    </row>
    <row r="93" spans="1:8" ht="30">
      <c r="A93" s="68" t="s">
        <v>218</v>
      </c>
      <c r="B93" s="70">
        <v>91932</v>
      </c>
      <c r="C93" s="58" t="s">
        <v>219</v>
      </c>
      <c r="D93" s="65" t="s">
        <v>65</v>
      </c>
      <c r="E93" s="65">
        <f>300+13+100</f>
        <v>413</v>
      </c>
      <c r="F93" s="41">
        <v>15.36</v>
      </c>
      <c r="G93" s="66">
        <f t="shared" si="5"/>
        <v>6343.6799999999994</v>
      </c>
      <c r="H93" s="66">
        <f t="shared" si="6"/>
        <v>7769.1048959999989</v>
      </c>
    </row>
    <row r="94" spans="1:8" ht="30">
      <c r="A94" s="37" t="s">
        <v>220</v>
      </c>
      <c r="B94" s="69">
        <v>92001</v>
      </c>
      <c r="C94" s="51" t="s">
        <v>221</v>
      </c>
      <c r="D94" s="40" t="s">
        <v>23</v>
      </c>
      <c r="E94" s="40">
        <f>3+5+30+5+5+4+6+6</f>
        <v>64</v>
      </c>
      <c r="F94" s="66">
        <v>15.36</v>
      </c>
      <c r="G94" s="42">
        <f t="shared" si="5"/>
        <v>983.04</v>
      </c>
      <c r="H94" s="42">
        <f t="shared" si="6"/>
        <v>1203.9290879999999</v>
      </c>
    </row>
    <row r="95" spans="1:8" ht="30">
      <c r="A95" s="37" t="s">
        <v>222</v>
      </c>
      <c r="B95" s="69">
        <v>92009</v>
      </c>
      <c r="C95" s="51" t="s">
        <v>223</v>
      </c>
      <c r="D95" s="40" t="s">
        <v>23</v>
      </c>
      <c r="E95" s="40">
        <f>5+6+12+6+8+3+10+10</f>
        <v>60</v>
      </c>
      <c r="F95" s="55">
        <v>32.29</v>
      </c>
      <c r="G95" s="42">
        <f t="shared" si="5"/>
        <v>1937.3999999999999</v>
      </c>
      <c r="H95" s="42">
        <f t="shared" si="6"/>
        <v>2372.7337799999996</v>
      </c>
    </row>
    <row r="96" spans="1:8" ht="30">
      <c r="A96" s="37" t="s">
        <v>224</v>
      </c>
      <c r="B96" s="69">
        <v>91993</v>
      </c>
      <c r="C96" s="51" t="s">
        <v>225</v>
      </c>
      <c r="D96" s="40" t="s">
        <v>23</v>
      </c>
      <c r="E96" s="40">
        <f>3+3+25+3+3+6+3+3</f>
        <v>49</v>
      </c>
      <c r="F96" s="66">
        <v>39.03</v>
      </c>
      <c r="G96" s="42">
        <f t="shared" si="5"/>
        <v>1912.47</v>
      </c>
      <c r="H96" s="42">
        <f t="shared" si="6"/>
        <v>2342.2020089999996</v>
      </c>
    </row>
    <row r="97" spans="1:9" ht="30">
      <c r="A97" s="37" t="s">
        <v>226</v>
      </c>
      <c r="B97" s="69">
        <v>92005</v>
      </c>
      <c r="C97" s="51" t="s">
        <v>227</v>
      </c>
      <c r="D97" s="40" t="s">
        <v>23</v>
      </c>
      <c r="E97" s="40">
        <f>1+2+5+2+2+3+2+2</f>
        <v>19</v>
      </c>
      <c r="F97" s="41">
        <v>32.92</v>
      </c>
      <c r="G97" s="42">
        <f t="shared" si="5"/>
        <v>625.48</v>
      </c>
      <c r="H97" s="42">
        <f t="shared" si="6"/>
        <v>766.02535599999999</v>
      </c>
    </row>
    <row r="98" spans="1:9">
      <c r="A98" s="68" t="s">
        <v>228</v>
      </c>
      <c r="B98" s="70" t="s">
        <v>229</v>
      </c>
      <c r="C98" s="58" t="s">
        <v>230</v>
      </c>
      <c r="D98" s="65" t="s">
        <v>23</v>
      </c>
      <c r="E98" s="65">
        <f>3+5+3+2</f>
        <v>13</v>
      </c>
      <c r="F98" s="41">
        <v>33.64</v>
      </c>
      <c r="G98" s="66">
        <f t="shared" si="5"/>
        <v>437.32</v>
      </c>
      <c r="H98" s="66">
        <f t="shared" si="6"/>
        <v>535.58580399999994</v>
      </c>
    </row>
    <row r="99" spans="1:9">
      <c r="A99" s="37" t="s">
        <v>231</v>
      </c>
      <c r="B99" s="69" t="s">
        <v>232</v>
      </c>
      <c r="C99" s="51" t="s">
        <v>233</v>
      </c>
      <c r="D99" s="40" t="s">
        <v>65</v>
      </c>
      <c r="E99" s="40">
        <f>10+10+10+10+10+10+10</f>
        <v>70</v>
      </c>
      <c r="F99" s="66">
        <v>44.12</v>
      </c>
      <c r="G99" s="42">
        <f t="shared" si="5"/>
        <v>3088.3999999999996</v>
      </c>
      <c r="H99" s="42">
        <f t="shared" si="6"/>
        <v>3782.3634799999991</v>
      </c>
    </row>
    <row r="100" spans="1:9" ht="30">
      <c r="A100" s="68" t="s">
        <v>234</v>
      </c>
      <c r="B100" s="70" t="s">
        <v>235</v>
      </c>
      <c r="C100" s="58" t="s">
        <v>236</v>
      </c>
      <c r="D100" s="65" t="s">
        <v>23</v>
      </c>
      <c r="E100" s="65">
        <f>4+5+1+3+5+8+5+5</f>
        <v>36</v>
      </c>
      <c r="F100" s="41">
        <v>17.55</v>
      </c>
      <c r="G100" s="66">
        <f t="shared" si="5"/>
        <v>631.80000000000007</v>
      </c>
      <c r="H100" s="66">
        <f t="shared" si="6"/>
        <v>773.76546000000008</v>
      </c>
    </row>
    <row r="101" spans="1:9" ht="30">
      <c r="A101" s="68" t="s">
        <v>237</v>
      </c>
      <c r="B101" s="70" t="s">
        <v>238</v>
      </c>
      <c r="C101" s="58" t="s">
        <v>239</v>
      </c>
      <c r="D101" s="65" t="s">
        <v>23</v>
      </c>
      <c r="E101" s="65">
        <f>1+1</f>
        <v>2</v>
      </c>
      <c r="F101" s="54">
        <v>19.079999999999998</v>
      </c>
      <c r="G101" s="66">
        <f t="shared" si="5"/>
        <v>38.159999999999997</v>
      </c>
      <c r="H101" s="66">
        <f t="shared" si="6"/>
        <v>46.734551999999994</v>
      </c>
      <c r="I101" s="71"/>
    </row>
    <row r="102" spans="1:9" ht="15.6">
      <c r="A102" s="35" t="s">
        <v>240</v>
      </c>
      <c r="B102" s="43" t="s">
        <v>241</v>
      </c>
      <c r="C102" s="43"/>
      <c r="D102" s="43"/>
      <c r="E102" s="44"/>
      <c r="F102" s="45"/>
      <c r="G102" s="36">
        <f>SUM(G103)</f>
        <v>7476.9</v>
      </c>
      <c r="H102" s="36">
        <f t="shared" si="6"/>
        <v>9156.959429999999</v>
      </c>
    </row>
    <row r="103" spans="1:9" ht="15.6">
      <c r="A103" s="46" t="s">
        <v>242</v>
      </c>
      <c r="B103" s="56" t="s">
        <v>243</v>
      </c>
      <c r="C103" s="56"/>
      <c r="D103" s="56"/>
      <c r="E103" s="48"/>
      <c r="F103" s="49"/>
      <c r="G103" s="50">
        <f>SUM(G104:G105)</f>
        <v>7476.9</v>
      </c>
      <c r="H103" s="50">
        <f t="shared" si="6"/>
        <v>9156.959429999999</v>
      </c>
    </row>
    <row r="104" spans="1:9" ht="30">
      <c r="A104" s="37" t="s">
        <v>244</v>
      </c>
      <c r="B104" s="69" t="s">
        <v>245</v>
      </c>
      <c r="C104" s="72" t="s">
        <v>246</v>
      </c>
      <c r="D104" s="40" t="s">
        <v>23</v>
      </c>
      <c r="E104" s="40">
        <f>3+3+3+3+5+2+3+3</f>
        <v>25</v>
      </c>
      <c r="F104" s="55">
        <v>222.94</v>
      </c>
      <c r="G104" s="42">
        <f>E104*F104</f>
        <v>5573.5</v>
      </c>
      <c r="H104" s="42">
        <f t="shared" si="6"/>
        <v>6825.8654499999993</v>
      </c>
    </row>
    <row r="105" spans="1:9">
      <c r="A105" s="37" t="s">
        <v>247</v>
      </c>
      <c r="B105" s="69" t="s">
        <v>248</v>
      </c>
      <c r="C105" s="72" t="s">
        <v>249</v>
      </c>
      <c r="D105" s="40" t="s">
        <v>65</v>
      </c>
      <c r="E105" s="40">
        <f>15+15+15+60+60+25+60+60</f>
        <v>310</v>
      </c>
      <c r="F105" s="55">
        <v>6.14</v>
      </c>
      <c r="G105" s="42">
        <f>E105*F105</f>
        <v>1903.3999999999999</v>
      </c>
      <c r="H105" s="42">
        <f t="shared" si="6"/>
        <v>2331.0939799999996</v>
      </c>
    </row>
    <row r="106" spans="1:9" ht="15.6">
      <c r="A106" s="35" t="s">
        <v>250</v>
      </c>
      <c r="B106" s="43" t="s">
        <v>251</v>
      </c>
      <c r="C106" s="43"/>
      <c r="D106" s="43"/>
      <c r="E106" s="44"/>
      <c r="F106" s="45"/>
      <c r="G106" s="36">
        <f>SUM(G107,G110)</f>
        <v>23327.75</v>
      </c>
      <c r="H106" s="36">
        <f t="shared" si="6"/>
        <v>28569.495424999997</v>
      </c>
    </row>
    <row r="107" spans="1:9" ht="15.6">
      <c r="A107" s="46" t="s">
        <v>242</v>
      </c>
      <c r="B107" s="4" t="s">
        <v>252</v>
      </c>
      <c r="C107" s="4"/>
      <c r="D107" s="4"/>
      <c r="E107" s="4"/>
      <c r="F107" s="4"/>
      <c r="G107" s="50">
        <f>SUM(G108:G109)</f>
        <v>0</v>
      </c>
      <c r="H107" s="50">
        <f t="shared" si="6"/>
        <v>0</v>
      </c>
    </row>
    <row r="108" spans="1:9">
      <c r="A108" s="37" t="s">
        <v>244</v>
      </c>
      <c r="B108" s="69"/>
      <c r="C108" s="51"/>
      <c r="D108" s="40"/>
      <c r="E108" s="40"/>
      <c r="F108" s="42"/>
      <c r="G108" s="42">
        <f>E108*F108</f>
        <v>0</v>
      </c>
      <c r="H108" s="42">
        <f t="shared" si="6"/>
        <v>0</v>
      </c>
    </row>
    <row r="109" spans="1:9">
      <c r="A109" s="37" t="s">
        <v>247</v>
      </c>
      <c r="B109" s="38"/>
      <c r="C109" s="73"/>
      <c r="D109" s="40"/>
      <c r="E109" s="40"/>
      <c r="F109" s="42"/>
      <c r="G109" s="42">
        <f>E109*F109</f>
        <v>0</v>
      </c>
      <c r="H109" s="42">
        <f t="shared" si="6"/>
        <v>0</v>
      </c>
    </row>
    <row r="110" spans="1:9" ht="15.6">
      <c r="A110" s="46" t="s">
        <v>253</v>
      </c>
      <c r="B110" s="56" t="s">
        <v>254</v>
      </c>
      <c r="C110" s="56"/>
      <c r="D110" s="56"/>
      <c r="E110" s="48"/>
      <c r="F110" s="49"/>
      <c r="G110" s="50">
        <f>SUM(G111:G133)</f>
        <v>23327.75</v>
      </c>
      <c r="H110" s="50">
        <f t="shared" si="6"/>
        <v>28569.495424999997</v>
      </c>
    </row>
    <row r="111" spans="1:9" ht="30">
      <c r="A111" s="37" t="s">
        <v>255</v>
      </c>
      <c r="B111" s="38" t="s">
        <v>256</v>
      </c>
      <c r="C111" s="51" t="s">
        <v>257</v>
      </c>
      <c r="D111" s="40" t="s">
        <v>65</v>
      </c>
      <c r="E111" s="40">
        <f>25*8</f>
        <v>200</v>
      </c>
      <c r="F111" s="55">
        <v>14.09</v>
      </c>
      <c r="G111" s="42">
        <f t="shared" ref="G111:G133" si="7">E111*F111</f>
        <v>2818</v>
      </c>
      <c r="H111" s="42">
        <f t="shared" si="6"/>
        <v>3451.2045999999996</v>
      </c>
    </row>
    <row r="112" spans="1:9" ht="30">
      <c r="A112" s="37" t="s">
        <v>258</v>
      </c>
      <c r="B112" s="38" t="s">
        <v>259</v>
      </c>
      <c r="C112" s="51" t="s">
        <v>260</v>
      </c>
      <c r="D112" s="40" t="s">
        <v>23</v>
      </c>
      <c r="E112" s="40">
        <f>8</f>
        <v>8</v>
      </c>
      <c r="F112" s="55">
        <v>4.42</v>
      </c>
      <c r="G112" s="42">
        <f t="shared" si="7"/>
        <v>35.36</v>
      </c>
      <c r="H112" s="42">
        <f t="shared" si="6"/>
        <v>43.305391999999998</v>
      </c>
    </row>
    <row r="113" spans="1:10">
      <c r="A113" s="37" t="s">
        <v>261</v>
      </c>
      <c r="B113" s="38" t="s">
        <v>262</v>
      </c>
      <c r="C113" s="51" t="s">
        <v>263</v>
      </c>
      <c r="D113" s="40" t="s">
        <v>23</v>
      </c>
      <c r="E113" s="40">
        <f>8</f>
        <v>8</v>
      </c>
      <c r="F113" s="55">
        <v>93.01</v>
      </c>
      <c r="G113" s="42">
        <f t="shared" si="7"/>
        <v>744.08</v>
      </c>
      <c r="H113" s="42">
        <f t="shared" si="6"/>
        <v>911.27477599999997</v>
      </c>
    </row>
    <row r="114" spans="1:10" ht="30">
      <c r="A114" s="37" t="s">
        <v>264</v>
      </c>
      <c r="B114" s="38" t="s">
        <v>265</v>
      </c>
      <c r="C114" s="51" t="s">
        <v>266</v>
      </c>
      <c r="D114" s="40" t="s">
        <v>23</v>
      </c>
      <c r="E114" s="40">
        <f>80</f>
        <v>80</v>
      </c>
      <c r="F114" s="55">
        <v>7.74</v>
      </c>
      <c r="G114" s="42">
        <f t="shared" si="7"/>
        <v>619.20000000000005</v>
      </c>
      <c r="H114" s="42">
        <f t="shared" si="6"/>
        <v>758.33424000000002</v>
      </c>
    </row>
    <row r="115" spans="1:10" ht="30">
      <c r="A115" s="37" t="s">
        <v>267</v>
      </c>
      <c r="B115" s="38" t="s">
        <v>268</v>
      </c>
      <c r="C115" s="51" t="s">
        <v>269</v>
      </c>
      <c r="D115" s="40" t="s">
        <v>23</v>
      </c>
      <c r="E115" s="40">
        <f>80</f>
        <v>80</v>
      </c>
      <c r="F115" s="55">
        <v>5.55</v>
      </c>
      <c r="G115" s="42">
        <f t="shared" si="7"/>
        <v>444</v>
      </c>
      <c r="H115" s="42">
        <f t="shared" si="6"/>
        <v>543.76679999999999</v>
      </c>
    </row>
    <row r="116" spans="1:10" ht="30">
      <c r="A116" s="37" t="s">
        <v>270</v>
      </c>
      <c r="B116" s="38" t="s">
        <v>271</v>
      </c>
      <c r="C116" s="51" t="s">
        <v>272</v>
      </c>
      <c r="D116" s="40" t="s">
        <v>23</v>
      </c>
      <c r="E116" s="40">
        <f>80</f>
        <v>80</v>
      </c>
      <c r="F116" s="55">
        <v>4.03</v>
      </c>
      <c r="G116" s="42">
        <f t="shared" si="7"/>
        <v>322.40000000000003</v>
      </c>
      <c r="H116" s="42">
        <f t="shared" si="6"/>
        <v>394.84327999999999</v>
      </c>
    </row>
    <row r="117" spans="1:10" ht="30">
      <c r="A117" s="37" t="s">
        <v>273</v>
      </c>
      <c r="B117" s="38" t="s">
        <v>274</v>
      </c>
      <c r="C117" s="51" t="s">
        <v>275</v>
      </c>
      <c r="D117" s="40" t="s">
        <v>23</v>
      </c>
      <c r="E117" s="40">
        <f>80</f>
        <v>80</v>
      </c>
      <c r="F117" s="55">
        <v>5.32</v>
      </c>
      <c r="G117" s="42">
        <f t="shared" si="7"/>
        <v>425.6</v>
      </c>
      <c r="H117" s="42">
        <f t="shared" si="6"/>
        <v>521.23231999999996</v>
      </c>
    </row>
    <row r="118" spans="1:10" ht="30">
      <c r="A118" s="37" t="s">
        <v>276</v>
      </c>
      <c r="B118" s="38" t="s">
        <v>277</v>
      </c>
      <c r="C118" s="51" t="s">
        <v>278</v>
      </c>
      <c r="D118" s="40" t="s">
        <v>23</v>
      </c>
      <c r="E118" s="40">
        <f>80</f>
        <v>80</v>
      </c>
      <c r="F118" s="55">
        <v>4.16</v>
      </c>
      <c r="G118" s="42">
        <f t="shared" si="7"/>
        <v>332.8</v>
      </c>
      <c r="H118" s="42">
        <f t="shared" ref="H118:H149" si="8">G118*(1+$H$19)</f>
        <v>407.58015999999998</v>
      </c>
    </row>
    <row r="119" spans="1:10">
      <c r="A119" s="37" t="s">
        <v>279</v>
      </c>
      <c r="B119" s="38" t="s">
        <v>280</v>
      </c>
      <c r="C119" s="51" t="s">
        <v>281</v>
      </c>
      <c r="D119" s="40" t="s">
        <v>23</v>
      </c>
      <c r="E119" s="40">
        <f>16</f>
        <v>16</v>
      </c>
      <c r="F119" s="55">
        <v>76.92</v>
      </c>
      <c r="G119" s="42">
        <f t="shared" si="7"/>
        <v>1230.72</v>
      </c>
      <c r="H119" s="42">
        <f t="shared" si="8"/>
        <v>1507.262784</v>
      </c>
      <c r="J119" s="74"/>
    </row>
    <row r="120" spans="1:10" ht="30">
      <c r="A120" s="37" t="s">
        <v>282</v>
      </c>
      <c r="B120" s="38" t="s">
        <v>283</v>
      </c>
      <c r="C120" s="51" t="s">
        <v>284</v>
      </c>
      <c r="D120" s="40" t="s">
        <v>65</v>
      </c>
      <c r="E120" s="40">
        <f>160</f>
        <v>160</v>
      </c>
      <c r="F120" s="55">
        <v>12.5</v>
      </c>
      <c r="G120" s="42">
        <f t="shared" si="7"/>
        <v>2000</v>
      </c>
      <c r="H120" s="42">
        <f t="shared" si="8"/>
        <v>2449.3999999999996</v>
      </c>
    </row>
    <row r="121" spans="1:10" ht="45">
      <c r="A121" s="37" t="s">
        <v>285</v>
      </c>
      <c r="B121" s="38" t="s">
        <v>286</v>
      </c>
      <c r="C121" s="51" t="s">
        <v>287</v>
      </c>
      <c r="D121" s="40" t="s">
        <v>23</v>
      </c>
      <c r="E121" s="40">
        <f>160</f>
        <v>160</v>
      </c>
      <c r="F121" s="55">
        <v>5.05</v>
      </c>
      <c r="G121" s="42">
        <f t="shared" si="7"/>
        <v>808</v>
      </c>
      <c r="H121" s="42">
        <f t="shared" si="8"/>
        <v>989.55759999999987</v>
      </c>
    </row>
    <row r="122" spans="1:10" ht="45">
      <c r="A122" s="37" t="s">
        <v>288</v>
      </c>
      <c r="B122" s="38" t="s">
        <v>289</v>
      </c>
      <c r="C122" s="51" t="s">
        <v>290</v>
      </c>
      <c r="D122" s="40" t="s">
        <v>23</v>
      </c>
      <c r="E122" s="40">
        <f>80</f>
        <v>80</v>
      </c>
      <c r="F122" s="55">
        <v>6.83</v>
      </c>
      <c r="G122" s="42">
        <f t="shared" si="7"/>
        <v>546.4</v>
      </c>
      <c r="H122" s="42">
        <f t="shared" si="8"/>
        <v>669.17607999999996</v>
      </c>
    </row>
    <row r="123" spans="1:10" ht="45">
      <c r="A123" s="37" t="s">
        <v>291</v>
      </c>
      <c r="B123" s="38" t="s">
        <v>292</v>
      </c>
      <c r="C123" s="51" t="s">
        <v>293</v>
      </c>
      <c r="D123" s="40" t="s">
        <v>23</v>
      </c>
      <c r="E123" s="40">
        <f>80</f>
        <v>80</v>
      </c>
      <c r="F123" s="55">
        <v>9.67</v>
      </c>
      <c r="G123" s="42">
        <f t="shared" si="7"/>
        <v>773.6</v>
      </c>
      <c r="H123" s="42">
        <f t="shared" si="8"/>
        <v>947.42791999999997</v>
      </c>
    </row>
    <row r="124" spans="1:10" ht="30">
      <c r="A124" s="37" t="s">
        <v>294</v>
      </c>
      <c r="B124" s="38" t="s">
        <v>295</v>
      </c>
      <c r="C124" s="51" t="s">
        <v>296</v>
      </c>
      <c r="D124" s="40" t="s">
        <v>23</v>
      </c>
      <c r="E124" s="40">
        <f>80</f>
        <v>80</v>
      </c>
      <c r="F124" s="55">
        <v>7.41</v>
      </c>
      <c r="G124" s="42">
        <f t="shared" si="7"/>
        <v>592.79999999999995</v>
      </c>
      <c r="H124" s="42">
        <f t="shared" si="8"/>
        <v>726.00215999999989</v>
      </c>
    </row>
    <row r="125" spans="1:10" ht="30">
      <c r="A125" s="37" t="s">
        <v>297</v>
      </c>
      <c r="B125" s="38" t="s">
        <v>298</v>
      </c>
      <c r="C125" s="51" t="s">
        <v>299</v>
      </c>
      <c r="D125" s="40" t="s">
        <v>65</v>
      </c>
      <c r="E125" s="40">
        <f>15</f>
        <v>15</v>
      </c>
      <c r="F125" s="55">
        <v>35.29</v>
      </c>
      <c r="G125" s="42">
        <f t="shared" si="7"/>
        <v>529.35</v>
      </c>
      <c r="H125" s="42">
        <f t="shared" si="8"/>
        <v>648.29494499999998</v>
      </c>
    </row>
    <row r="126" spans="1:10" ht="30">
      <c r="A126" s="37" t="s">
        <v>300</v>
      </c>
      <c r="B126" s="38" t="s">
        <v>301</v>
      </c>
      <c r="C126" s="51" t="s">
        <v>302</v>
      </c>
      <c r="D126" s="40" t="s">
        <v>23</v>
      </c>
      <c r="E126" s="65">
        <f>16</f>
        <v>16</v>
      </c>
      <c r="F126" s="55">
        <v>6.21</v>
      </c>
      <c r="G126" s="42">
        <f t="shared" si="7"/>
        <v>99.36</v>
      </c>
      <c r="H126" s="42">
        <f t="shared" si="8"/>
        <v>121.68619199999999</v>
      </c>
    </row>
    <row r="127" spans="1:10">
      <c r="A127" s="37" t="s">
        <v>303</v>
      </c>
      <c r="B127" s="38" t="s">
        <v>304</v>
      </c>
      <c r="C127" s="51" t="s">
        <v>305</v>
      </c>
      <c r="D127" s="40" t="s">
        <v>23</v>
      </c>
      <c r="E127" s="40">
        <f>16</f>
        <v>16</v>
      </c>
      <c r="F127" s="55">
        <v>8.7799999999999994</v>
      </c>
      <c r="G127" s="42">
        <f t="shared" si="7"/>
        <v>140.47999999999999</v>
      </c>
      <c r="H127" s="42">
        <f t="shared" si="8"/>
        <v>172.04585599999999</v>
      </c>
    </row>
    <row r="128" spans="1:10">
      <c r="A128" s="37" t="s">
        <v>306</v>
      </c>
      <c r="B128" s="75" t="s">
        <v>307</v>
      </c>
      <c r="C128" s="51" t="s">
        <v>308</v>
      </c>
      <c r="D128" s="40" t="s">
        <v>23</v>
      </c>
      <c r="E128" s="40">
        <f>24</f>
        <v>24</v>
      </c>
      <c r="F128" s="55">
        <v>14.52</v>
      </c>
      <c r="G128" s="42">
        <f t="shared" si="7"/>
        <v>348.48</v>
      </c>
      <c r="H128" s="42">
        <f t="shared" si="8"/>
        <v>426.783456</v>
      </c>
    </row>
    <row r="129" spans="1:8" ht="30">
      <c r="A129" s="37" t="s">
        <v>309</v>
      </c>
      <c r="B129" s="38" t="s">
        <v>310</v>
      </c>
      <c r="C129" s="51" t="s">
        <v>311</v>
      </c>
      <c r="D129" s="40" t="s">
        <v>23</v>
      </c>
      <c r="E129" s="40">
        <f>8</f>
        <v>8</v>
      </c>
      <c r="F129" s="55">
        <v>96.78</v>
      </c>
      <c r="G129" s="42">
        <f t="shared" si="7"/>
        <v>774.24</v>
      </c>
      <c r="H129" s="42">
        <f t="shared" si="8"/>
        <v>948.21172799999988</v>
      </c>
    </row>
    <row r="130" spans="1:8">
      <c r="A130" s="37" t="s">
        <v>312</v>
      </c>
      <c r="B130" s="75" t="s">
        <v>313</v>
      </c>
      <c r="C130" s="51" t="s">
        <v>314</v>
      </c>
      <c r="D130" s="40" t="s">
        <v>23</v>
      </c>
      <c r="E130" s="40">
        <f>8</f>
        <v>8</v>
      </c>
      <c r="F130" s="55">
        <v>525.94000000000005</v>
      </c>
      <c r="G130" s="42">
        <f t="shared" si="7"/>
        <v>4207.5200000000004</v>
      </c>
      <c r="H130" s="42">
        <f t="shared" si="8"/>
        <v>5152.9497440000005</v>
      </c>
    </row>
    <row r="131" spans="1:8">
      <c r="A131" s="37" t="s">
        <v>315</v>
      </c>
      <c r="B131" s="38" t="s">
        <v>316</v>
      </c>
      <c r="C131" s="51" t="s">
        <v>317</v>
      </c>
      <c r="D131" s="40" t="s">
        <v>23</v>
      </c>
      <c r="E131" s="40">
        <v>24</v>
      </c>
      <c r="F131" s="55">
        <v>54.73</v>
      </c>
      <c r="G131" s="42">
        <f t="shared" si="7"/>
        <v>1313.52</v>
      </c>
      <c r="H131" s="42">
        <f t="shared" si="8"/>
        <v>1608.6679439999998</v>
      </c>
    </row>
    <row r="132" spans="1:8">
      <c r="A132" s="37" t="s">
        <v>318</v>
      </c>
      <c r="B132" s="75" t="s">
        <v>319</v>
      </c>
      <c r="C132" s="51" t="s">
        <v>320</v>
      </c>
      <c r="D132" s="40" t="s">
        <v>23</v>
      </c>
      <c r="E132" s="40">
        <v>24</v>
      </c>
      <c r="F132" s="55">
        <v>55.01</v>
      </c>
      <c r="G132" s="42">
        <f t="shared" si="7"/>
        <v>1320.24</v>
      </c>
      <c r="H132" s="42">
        <f t="shared" si="8"/>
        <v>1616.8979279999999</v>
      </c>
    </row>
    <row r="133" spans="1:8">
      <c r="A133" s="37" t="s">
        <v>321</v>
      </c>
      <c r="B133" s="38" t="s">
        <v>32</v>
      </c>
      <c r="C133" s="51" t="s">
        <v>322</v>
      </c>
      <c r="D133" s="40" t="s">
        <v>23</v>
      </c>
      <c r="E133" s="40">
        <v>24</v>
      </c>
      <c r="F133" s="55">
        <v>120.9</v>
      </c>
      <c r="G133" s="42">
        <f t="shared" si="7"/>
        <v>2901.6000000000004</v>
      </c>
      <c r="H133" s="42">
        <f t="shared" si="8"/>
        <v>3553.58952</v>
      </c>
    </row>
    <row r="134" spans="1:8" ht="15.6">
      <c r="A134" s="35" t="s">
        <v>323</v>
      </c>
      <c r="B134" s="43" t="s">
        <v>324</v>
      </c>
      <c r="C134" s="43"/>
      <c r="D134" s="43"/>
      <c r="E134" s="44"/>
      <c r="F134" s="45"/>
      <c r="G134" s="36">
        <f>SUM(G135,G140)</f>
        <v>13758.72</v>
      </c>
      <c r="H134" s="36">
        <f t="shared" si="8"/>
        <v>16850.304383999999</v>
      </c>
    </row>
    <row r="135" spans="1:8" ht="15.6">
      <c r="A135" s="46" t="s">
        <v>325</v>
      </c>
      <c r="B135" s="56" t="s">
        <v>326</v>
      </c>
      <c r="C135" s="56"/>
      <c r="D135" s="56"/>
      <c r="E135" s="48"/>
      <c r="F135" s="49"/>
      <c r="G135" s="50">
        <f>SUM(G136:G139)</f>
        <v>9802.8799999999992</v>
      </c>
      <c r="H135" s="50">
        <f t="shared" si="8"/>
        <v>12005.587135999998</v>
      </c>
    </row>
    <row r="136" spans="1:8">
      <c r="A136" s="37" t="s">
        <v>327</v>
      </c>
      <c r="B136" s="38" t="s">
        <v>328</v>
      </c>
      <c r="C136" s="72" t="s">
        <v>329</v>
      </c>
      <c r="D136" s="40" t="s">
        <v>23</v>
      </c>
      <c r="E136" s="40">
        <f>16</f>
        <v>16</v>
      </c>
      <c r="F136" s="55">
        <v>14.05</v>
      </c>
      <c r="G136" s="42">
        <f>E136*F136</f>
        <v>224.8</v>
      </c>
      <c r="H136" s="42">
        <f t="shared" si="8"/>
        <v>275.31256000000002</v>
      </c>
    </row>
    <row r="137" spans="1:8" ht="30">
      <c r="A137" s="37" t="s">
        <v>330</v>
      </c>
      <c r="B137" s="38" t="s">
        <v>331</v>
      </c>
      <c r="C137" s="72" t="s">
        <v>332</v>
      </c>
      <c r="D137" s="40" t="s">
        <v>23</v>
      </c>
      <c r="E137" s="40">
        <v>8</v>
      </c>
      <c r="F137" s="55">
        <v>343.83</v>
      </c>
      <c r="G137" s="42">
        <f>E137*F137</f>
        <v>2750.64</v>
      </c>
      <c r="H137" s="42">
        <f t="shared" si="8"/>
        <v>3368.7088079999994</v>
      </c>
    </row>
    <row r="138" spans="1:8" ht="45">
      <c r="A138" s="37" t="s">
        <v>333</v>
      </c>
      <c r="B138" s="38" t="s">
        <v>32</v>
      </c>
      <c r="C138" s="72" t="s">
        <v>334</v>
      </c>
      <c r="D138" s="40" t="s">
        <v>23</v>
      </c>
      <c r="E138" s="40">
        <v>8</v>
      </c>
      <c r="F138" s="55">
        <v>692.09</v>
      </c>
      <c r="G138" s="42">
        <f>E138*F138</f>
        <v>5536.72</v>
      </c>
      <c r="H138" s="42">
        <f t="shared" si="8"/>
        <v>6780.820984</v>
      </c>
    </row>
    <row r="139" spans="1:8" ht="45">
      <c r="A139" s="37" t="s">
        <v>335</v>
      </c>
      <c r="B139" s="38" t="s">
        <v>336</v>
      </c>
      <c r="C139" s="72" t="s">
        <v>337</v>
      </c>
      <c r="D139" s="40" t="s">
        <v>23</v>
      </c>
      <c r="E139" s="40">
        <v>8</v>
      </c>
      <c r="F139" s="55">
        <v>161.34</v>
      </c>
      <c r="G139" s="42">
        <f>E139*F139</f>
        <v>1290.72</v>
      </c>
      <c r="H139" s="42">
        <f t="shared" si="8"/>
        <v>1580.744784</v>
      </c>
    </row>
    <row r="140" spans="1:8" ht="15.6">
      <c r="A140" s="46" t="s">
        <v>338</v>
      </c>
      <c r="B140" s="56" t="s">
        <v>339</v>
      </c>
      <c r="C140" s="56"/>
      <c r="D140" s="56"/>
      <c r="E140" s="48"/>
      <c r="F140" s="49"/>
      <c r="G140" s="50">
        <f>SUM(G141:G144)</f>
        <v>3955.84</v>
      </c>
      <c r="H140" s="50">
        <f t="shared" si="8"/>
        <v>4844.7172479999999</v>
      </c>
    </row>
    <row r="141" spans="1:8" ht="30">
      <c r="A141" s="37" t="s">
        <v>340</v>
      </c>
      <c r="B141" s="38" t="s">
        <v>341</v>
      </c>
      <c r="C141" s="76" t="s">
        <v>342</v>
      </c>
      <c r="D141" s="40" t="s">
        <v>23</v>
      </c>
      <c r="E141" s="40">
        <v>8</v>
      </c>
      <c r="F141" s="55">
        <v>33.44</v>
      </c>
      <c r="G141" s="42">
        <f>E141*F141</f>
        <v>267.52</v>
      </c>
      <c r="H141" s="42">
        <f t="shared" si="8"/>
        <v>327.63174399999997</v>
      </c>
    </row>
    <row r="142" spans="1:8" ht="30">
      <c r="A142" s="37" t="s">
        <v>343</v>
      </c>
      <c r="B142" s="38" t="s">
        <v>344</v>
      </c>
      <c r="C142" s="76" t="s">
        <v>345</v>
      </c>
      <c r="D142" s="40" t="s">
        <v>23</v>
      </c>
      <c r="E142" s="40">
        <v>8</v>
      </c>
      <c r="F142" s="55">
        <v>66.36</v>
      </c>
      <c r="G142" s="42">
        <f>E142*F142</f>
        <v>530.88</v>
      </c>
      <c r="H142" s="42">
        <f t="shared" si="8"/>
        <v>650.16873599999997</v>
      </c>
    </row>
    <row r="143" spans="1:8" ht="30">
      <c r="A143" s="37" t="s">
        <v>346</v>
      </c>
      <c r="B143" s="38" t="s">
        <v>347</v>
      </c>
      <c r="C143" s="76" t="s">
        <v>348</v>
      </c>
      <c r="D143" s="40" t="s">
        <v>23</v>
      </c>
      <c r="E143" s="40">
        <v>16</v>
      </c>
      <c r="F143" s="55">
        <v>74.67</v>
      </c>
      <c r="G143" s="42">
        <f>E143*F143</f>
        <v>1194.72</v>
      </c>
      <c r="H143" s="42">
        <f t="shared" si="8"/>
        <v>1463.1735839999999</v>
      </c>
    </row>
    <row r="144" spans="1:8" ht="30">
      <c r="A144" s="37" t="s">
        <v>349</v>
      </c>
      <c r="B144" s="38" t="s">
        <v>350</v>
      </c>
      <c r="C144" s="76" t="s">
        <v>351</v>
      </c>
      <c r="D144" s="40" t="s">
        <v>23</v>
      </c>
      <c r="E144" s="40">
        <v>24</v>
      </c>
      <c r="F144" s="55">
        <v>81.78</v>
      </c>
      <c r="G144" s="42">
        <f>E144*F144</f>
        <v>1962.72</v>
      </c>
      <c r="H144" s="42">
        <f t="shared" si="8"/>
        <v>2403.7431839999999</v>
      </c>
    </row>
    <row r="145" spans="1:9" ht="15.6">
      <c r="A145" s="35">
        <v>9</v>
      </c>
      <c r="B145" s="43" t="s">
        <v>352</v>
      </c>
      <c r="C145" s="43"/>
      <c r="D145" s="43"/>
      <c r="E145" s="44"/>
      <c r="F145" s="45"/>
      <c r="G145" s="36">
        <f>SUM(G146:G150)</f>
        <v>31010.998900000002</v>
      </c>
      <c r="H145" s="36">
        <f t="shared" si="8"/>
        <v>37979.170352829999</v>
      </c>
    </row>
    <row r="146" spans="1:9" ht="30">
      <c r="A146" s="37" t="s">
        <v>353</v>
      </c>
      <c r="B146" s="38" t="s">
        <v>277</v>
      </c>
      <c r="C146" s="77" t="s">
        <v>354</v>
      </c>
      <c r="D146" s="40" t="s">
        <v>41</v>
      </c>
      <c r="E146" s="40">
        <f>161.37+256.82+255.8+312+226.03+447.96+206.03+206.03</f>
        <v>2072.04</v>
      </c>
      <c r="F146" s="42">
        <v>4.12</v>
      </c>
      <c r="G146" s="42">
        <f>E146*F146</f>
        <v>8536.8047999999999</v>
      </c>
      <c r="H146" s="42">
        <f t="shared" si="8"/>
        <v>10455.024838559999</v>
      </c>
    </row>
    <row r="147" spans="1:9" ht="30">
      <c r="A147" s="37" t="s">
        <v>355</v>
      </c>
      <c r="B147" s="38" t="s">
        <v>277</v>
      </c>
      <c r="C147" s="77" t="s">
        <v>356</v>
      </c>
      <c r="D147" s="40" t="s">
        <v>41</v>
      </c>
      <c r="E147" s="40">
        <f>32.37+51.36+51.16+62.4+25+89.59+40+40</f>
        <v>391.88</v>
      </c>
      <c r="F147" s="42">
        <v>4.91</v>
      </c>
      <c r="G147" s="42">
        <f>E147*F147</f>
        <v>1924.1308000000001</v>
      </c>
      <c r="H147" s="42">
        <f t="shared" si="8"/>
        <v>2356.4829907600001</v>
      </c>
    </row>
    <row r="148" spans="1:9" ht="30">
      <c r="A148" s="37" t="s">
        <v>357</v>
      </c>
      <c r="B148" s="38" t="s">
        <v>277</v>
      </c>
      <c r="C148" s="77" t="s">
        <v>358</v>
      </c>
      <c r="D148" s="40" t="s">
        <v>41</v>
      </c>
      <c r="E148" s="40">
        <f>32.27+51.36+51.16+62.4+25+89.59+40+40</f>
        <v>391.78</v>
      </c>
      <c r="F148" s="42">
        <v>23.51</v>
      </c>
      <c r="G148" s="42">
        <f>E148*F148</f>
        <v>9210.7477999999992</v>
      </c>
      <c r="H148" s="42">
        <f t="shared" si="8"/>
        <v>11280.402830659998</v>
      </c>
    </row>
    <row r="149" spans="1:9">
      <c r="A149" s="37" t="s">
        <v>359</v>
      </c>
      <c r="B149" s="38" t="s">
        <v>360</v>
      </c>
      <c r="C149" s="76" t="s">
        <v>361</v>
      </c>
      <c r="D149" s="40" t="s">
        <v>41</v>
      </c>
      <c r="E149" s="40">
        <f>36.55+33.12+41.2+81.25+134.29+75.25+75.25</f>
        <v>476.90999999999997</v>
      </c>
      <c r="F149" s="42">
        <v>17.05</v>
      </c>
      <c r="G149" s="42">
        <f>E149*F149</f>
        <v>8131.3154999999997</v>
      </c>
      <c r="H149" s="42">
        <f t="shared" si="8"/>
        <v>9958.4220928499981</v>
      </c>
    </row>
    <row r="150" spans="1:9">
      <c r="A150" s="37" t="s">
        <v>362</v>
      </c>
      <c r="B150" s="53" t="s">
        <v>363</v>
      </c>
      <c r="C150" s="72" t="s">
        <v>364</v>
      </c>
      <c r="D150" s="65" t="s">
        <v>41</v>
      </c>
      <c r="E150" s="65">
        <v>800</v>
      </c>
      <c r="F150" s="66">
        <v>4.01</v>
      </c>
      <c r="G150" s="66">
        <f>E150*F150</f>
        <v>3208</v>
      </c>
      <c r="H150" s="66">
        <f t="shared" ref="H150:H181" si="9">G150*(1+$H$19)</f>
        <v>3928.8375999999998</v>
      </c>
    </row>
    <row r="151" spans="1:9" ht="15.6">
      <c r="A151" s="35">
        <v>10</v>
      </c>
      <c r="B151" s="43" t="s">
        <v>365</v>
      </c>
      <c r="C151" s="43"/>
      <c r="D151" s="43"/>
      <c r="E151" s="44"/>
      <c r="F151" s="45"/>
      <c r="G151" s="36">
        <f>SUM(G152:G153)</f>
        <v>4834.7885999999999</v>
      </c>
      <c r="H151" s="36">
        <f t="shared" si="9"/>
        <v>5921.1655984199997</v>
      </c>
    </row>
    <row r="152" spans="1:9">
      <c r="A152" s="37" t="s">
        <v>366</v>
      </c>
      <c r="B152" s="38" t="s">
        <v>367</v>
      </c>
      <c r="C152" s="72" t="s">
        <v>368</v>
      </c>
      <c r="D152" s="40" t="s">
        <v>41</v>
      </c>
      <c r="E152" s="40">
        <f>224.19+540+583+250+123.96+313.67+123.96+123.96</f>
        <v>2282.7400000000002</v>
      </c>
      <c r="F152" s="55">
        <v>1.89</v>
      </c>
      <c r="G152" s="42">
        <f>SUM(E152*F152)</f>
        <v>4314.3786</v>
      </c>
      <c r="H152" s="42">
        <f t="shared" si="9"/>
        <v>5283.8194714199999</v>
      </c>
    </row>
    <row r="153" spans="1:9">
      <c r="A153" s="37" t="s">
        <v>369</v>
      </c>
      <c r="B153" s="38" t="s">
        <v>370</v>
      </c>
      <c r="C153" s="76" t="s">
        <v>371</v>
      </c>
      <c r="D153" s="40" t="s">
        <v>59</v>
      </c>
      <c r="E153" s="40">
        <f>3+3+3+3+6+3+6+6</f>
        <v>33</v>
      </c>
      <c r="F153" s="55">
        <v>15.77</v>
      </c>
      <c r="G153" s="42">
        <f>SUM(E153*F153)</f>
        <v>520.41</v>
      </c>
      <c r="H153" s="42">
        <f t="shared" si="9"/>
        <v>637.34612699999991</v>
      </c>
    </row>
    <row r="154" spans="1:9" ht="15.6">
      <c r="A154" s="35">
        <v>11</v>
      </c>
      <c r="B154" s="43" t="s">
        <v>372</v>
      </c>
      <c r="C154" s="43"/>
      <c r="D154" s="43"/>
      <c r="E154" s="44"/>
      <c r="F154" s="45"/>
      <c r="G154" s="36">
        <f>SUM(G155:G155)</f>
        <v>16597.7</v>
      </c>
      <c r="H154" s="36">
        <f t="shared" si="9"/>
        <v>20327.20319</v>
      </c>
    </row>
    <row r="155" spans="1:9" ht="30">
      <c r="A155" s="37" t="s">
        <v>373</v>
      </c>
      <c r="B155" s="38" t="s">
        <v>277</v>
      </c>
      <c r="C155" s="76" t="s">
        <v>374</v>
      </c>
      <c r="D155" s="40" t="s">
        <v>375</v>
      </c>
      <c r="E155" s="40">
        <f>410*2+562*2+630*2+850*2+349*2+543*2+799*2+442*2</f>
        <v>9170</v>
      </c>
      <c r="F155" s="55">
        <v>1.81</v>
      </c>
      <c r="G155" s="42">
        <f>SUM(E155*F155)</f>
        <v>16597.7</v>
      </c>
      <c r="H155" s="42">
        <f t="shared" si="9"/>
        <v>20327.20319</v>
      </c>
    </row>
    <row r="156" spans="1:9" ht="15.6">
      <c r="A156" s="78"/>
      <c r="B156" s="79"/>
      <c r="C156" s="80"/>
      <c r="D156" s="3" t="s">
        <v>376</v>
      </c>
      <c r="E156" s="3"/>
      <c r="F156" s="3"/>
      <c r="G156" s="3"/>
      <c r="H156" s="31">
        <f>SUM(G154,G151,G145,G134,G106,G102,G74,G60,G52,G24,G22)</f>
        <v>429239.45380000002</v>
      </c>
      <c r="I156" s="81"/>
    </row>
    <row r="157" spans="1:9" ht="15.6">
      <c r="A157" s="2" t="s">
        <v>28</v>
      </c>
      <c r="B157" s="2"/>
      <c r="C157" s="2"/>
      <c r="D157" s="2"/>
      <c r="E157" s="2"/>
      <c r="F157" s="2"/>
      <c r="G157" s="2"/>
      <c r="H157" s="34">
        <f>SUM(H154,H151,H145,H134,H106,H102,H74,H60,H52,H24,H22)</f>
        <v>525689.55906886002</v>
      </c>
    </row>
    <row r="158" spans="1:9" ht="15.6">
      <c r="A158" s="82"/>
      <c r="B158" s="1"/>
      <c r="C158" s="1"/>
      <c r="D158" s="1"/>
      <c r="E158" s="1"/>
      <c r="F158" s="1"/>
      <c r="G158" s="1"/>
      <c r="H158" s="1"/>
    </row>
  </sheetData>
  <mergeCells count="23">
    <mergeCell ref="D156:G156"/>
    <mergeCell ref="A157:G157"/>
    <mergeCell ref="B158:H158"/>
    <mergeCell ref="B16:C16"/>
    <mergeCell ref="B17:C17"/>
    <mergeCell ref="A19:G19"/>
    <mergeCell ref="B22:F22"/>
    <mergeCell ref="B107:F107"/>
    <mergeCell ref="B11:C11"/>
    <mergeCell ref="B12:C12"/>
    <mergeCell ref="B13:C13"/>
    <mergeCell ref="B14:C14"/>
    <mergeCell ref="B15:C15"/>
    <mergeCell ref="B6:C6"/>
    <mergeCell ref="B7:C7"/>
    <mergeCell ref="B8:C8"/>
    <mergeCell ref="B9:C9"/>
    <mergeCell ref="B10:C10"/>
    <mergeCell ref="A1:H1"/>
    <mergeCell ref="B2:C2"/>
    <mergeCell ref="B3:C3"/>
    <mergeCell ref="B4:C4"/>
    <mergeCell ref="B5:C5"/>
  </mergeCells>
  <hyperlinks>
    <hyperlink ref="B128" r:id="rId1"/>
    <hyperlink ref="B130" r:id="rId2"/>
    <hyperlink ref="B132" r:id="rId3"/>
  </hyperlinks>
  <printOptions horizontalCentered="1"/>
  <pageMargins left="0.78749999999999998" right="0.78749999999999998" top="1.53541666666667" bottom="0.66874999999999996" header="0.23611111111111099" footer="0.196527777777778"/>
  <pageSetup paperSize="9" scale="45" fitToHeight="0" orientation="portrait" horizontalDpi="300" verticalDpi="300" r:id="rId4"/>
  <headerFooter>
    <oddHeader>&amp;C&amp;16SUPERVISÃO DE OBRAS E REFORMAS - SOR
ANEXO II - TERMO DE REFERÊNCIA</oddHeader>
    <oddFooter>&amp;C&amp;16Rua da Estrela, 421, Centro Histórico- Praia Grande – São Luís/MA – CEP 65010-200
Telefone: (98) 3221-1343 – Fax (98) 3231-0958
Página &amp;P de &amp;N</oddFooter>
  </headerFooter>
  <rowBreaks count="2" manualBreakCount="2">
    <brk id="73" max="16383" man="1"/>
    <brk id="1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D14" sqref="D14"/>
    </sheetView>
  </sheetViews>
  <sheetFormatPr defaultRowHeight="13.8"/>
  <cols>
    <col min="1" max="1" width="28.3984375" customWidth="1"/>
    <col min="4" max="4" width="56.796875" customWidth="1"/>
    <col min="8" max="8" width="26.69921875" customWidth="1"/>
  </cols>
  <sheetData>
    <row r="1" spans="1:10">
      <c r="A1" s="83" t="s">
        <v>377</v>
      </c>
      <c r="B1" s="83"/>
      <c r="C1" s="83"/>
      <c r="D1" s="83"/>
      <c r="E1" s="83"/>
      <c r="F1" s="83"/>
      <c r="G1" s="83"/>
      <c r="H1" s="83"/>
      <c r="I1" s="83"/>
      <c r="J1" s="83"/>
    </row>
    <row r="2" spans="1:10">
      <c r="A2" s="84"/>
      <c r="B2" s="84"/>
      <c r="C2" s="84"/>
      <c r="D2" s="84"/>
      <c r="E2" s="84"/>
      <c r="F2" s="85"/>
      <c r="G2" s="84"/>
      <c r="H2" s="85"/>
      <c r="I2" s="84"/>
      <c r="J2" s="85"/>
    </row>
    <row r="3" spans="1:10" ht="14.4" thickBot="1">
      <c r="A3" s="86"/>
      <c r="B3" s="86"/>
      <c r="C3" s="86"/>
      <c r="D3" s="86"/>
      <c r="E3" s="86"/>
      <c r="F3" s="86"/>
      <c r="G3" s="86"/>
      <c r="H3" s="87"/>
      <c r="I3" s="86"/>
      <c r="J3" s="88"/>
    </row>
    <row r="4" spans="1:10" ht="14.4" thickTop="1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ht="27.6">
      <c r="A5" s="90" t="s">
        <v>378</v>
      </c>
      <c r="B5" s="91" t="s">
        <v>379</v>
      </c>
      <c r="C5" s="90" t="s">
        <v>380</v>
      </c>
      <c r="D5" s="90" t="s">
        <v>381</v>
      </c>
      <c r="E5" s="92" t="s">
        <v>382</v>
      </c>
      <c r="F5" s="92"/>
      <c r="G5" s="93" t="s">
        <v>383</v>
      </c>
      <c r="H5" s="91" t="s">
        <v>384</v>
      </c>
      <c r="I5" s="91" t="s">
        <v>385</v>
      </c>
      <c r="J5" s="91" t="s">
        <v>386</v>
      </c>
    </row>
    <row r="6" spans="1:10" ht="52.8" customHeight="1">
      <c r="A6" s="94" t="s">
        <v>43</v>
      </c>
      <c r="B6" s="95"/>
      <c r="C6" s="96"/>
      <c r="D6" s="97" t="s">
        <v>44</v>
      </c>
      <c r="E6" s="98" t="s">
        <v>387</v>
      </c>
      <c r="F6" s="98"/>
      <c r="G6" s="99" t="s">
        <v>388</v>
      </c>
      <c r="H6" s="100">
        <v>1</v>
      </c>
      <c r="I6" s="101">
        <f>J7</f>
        <v>3.6893119999999997</v>
      </c>
      <c r="J6" s="101">
        <f>I6*H6</f>
        <v>3.6893119999999997</v>
      </c>
    </row>
    <row r="7" spans="1:10" ht="28.8" customHeight="1">
      <c r="A7" s="102" t="s">
        <v>389</v>
      </c>
      <c r="B7" s="103" t="s">
        <v>390</v>
      </c>
      <c r="C7" s="102" t="s">
        <v>391</v>
      </c>
      <c r="D7" s="102" t="s">
        <v>392</v>
      </c>
      <c r="E7" s="104" t="s">
        <v>393</v>
      </c>
      <c r="F7" s="104"/>
      <c r="G7" s="105" t="s">
        <v>394</v>
      </c>
      <c r="H7" s="106">
        <v>0.24529999999999999</v>
      </c>
      <c r="I7" s="107">
        <v>15.04</v>
      </c>
      <c r="J7" s="107">
        <f>H7*I7</f>
        <v>3.6893119999999997</v>
      </c>
    </row>
    <row r="9" spans="1:10" ht="27.6">
      <c r="A9" s="90" t="s">
        <v>395</v>
      </c>
      <c r="B9" s="91" t="s">
        <v>379</v>
      </c>
      <c r="C9" s="90" t="s">
        <v>380</v>
      </c>
      <c r="D9" s="90" t="s">
        <v>381</v>
      </c>
      <c r="E9" s="92" t="s">
        <v>382</v>
      </c>
      <c r="F9" s="92"/>
      <c r="G9" s="93" t="s">
        <v>383</v>
      </c>
      <c r="H9" s="91" t="s">
        <v>384</v>
      </c>
      <c r="I9" s="91" t="s">
        <v>385</v>
      </c>
      <c r="J9" s="91" t="s">
        <v>386</v>
      </c>
    </row>
    <row r="10" spans="1:10" ht="22.2" customHeight="1">
      <c r="A10" s="94" t="s">
        <v>43</v>
      </c>
      <c r="B10" s="95"/>
      <c r="C10" s="96"/>
      <c r="D10" s="97" t="s">
        <v>46</v>
      </c>
      <c r="E10" s="98" t="s">
        <v>387</v>
      </c>
      <c r="F10" s="98"/>
      <c r="G10" s="99" t="s">
        <v>388</v>
      </c>
      <c r="H10" s="100">
        <v>1</v>
      </c>
      <c r="I10" s="101">
        <v>5.2</v>
      </c>
      <c r="J10" s="101">
        <f>I10*H10</f>
        <v>5.2</v>
      </c>
    </row>
    <row r="11" spans="1:10" ht="33.6" customHeight="1">
      <c r="A11" s="102" t="s">
        <v>389</v>
      </c>
      <c r="B11" s="103" t="s">
        <v>390</v>
      </c>
      <c r="C11" s="102" t="s">
        <v>391</v>
      </c>
      <c r="D11" s="102" t="s">
        <v>392</v>
      </c>
      <c r="E11" s="104" t="s">
        <v>393</v>
      </c>
      <c r="F11" s="104"/>
      <c r="G11" s="105" t="s">
        <v>394</v>
      </c>
      <c r="H11" s="106">
        <v>0.34570000000000001</v>
      </c>
      <c r="I11" s="107">
        <v>15.04</v>
      </c>
      <c r="J11" s="107">
        <f>H11*I11</f>
        <v>5.1993279999999995</v>
      </c>
    </row>
    <row r="13" spans="1:10" ht="27.6">
      <c r="A13" s="90" t="s">
        <v>396</v>
      </c>
      <c r="B13" s="91" t="s">
        <v>379</v>
      </c>
      <c r="C13" s="90" t="s">
        <v>380</v>
      </c>
      <c r="D13" s="90" t="s">
        <v>381</v>
      </c>
      <c r="E13" s="92" t="s">
        <v>382</v>
      </c>
      <c r="F13" s="92"/>
      <c r="G13" s="93" t="s">
        <v>383</v>
      </c>
      <c r="H13" s="91" t="s">
        <v>384</v>
      </c>
      <c r="I13" s="91" t="s">
        <v>385</v>
      </c>
      <c r="J13" s="91" t="s">
        <v>386</v>
      </c>
    </row>
    <row r="14" spans="1:10" ht="27.6" customHeight="1">
      <c r="A14" s="94" t="s">
        <v>43</v>
      </c>
      <c r="B14" s="95"/>
      <c r="C14" s="96"/>
      <c r="D14" s="97" t="s">
        <v>61</v>
      </c>
      <c r="E14" s="98" t="s">
        <v>387</v>
      </c>
      <c r="F14" s="98"/>
      <c r="G14" s="99" t="s">
        <v>388</v>
      </c>
      <c r="H14" s="100">
        <v>1</v>
      </c>
      <c r="I14" s="101">
        <f>J15</f>
        <v>11.2099888</v>
      </c>
      <c r="J14" s="101">
        <f>I14*H14</f>
        <v>11.2099888</v>
      </c>
    </row>
    <row r="15" spans="1:10" ht="25.8" customHeight="1">
      <c r="A15" s="102" t="s">
        <v>389</v>
      </c>
      <c r="B15" s="103" t="s">
        <v>390</v>
      </c>
      <c r="C15" s="102" t="s">
        <v>391</v>
      </c>
      <c r="D15" s="102" t="s">
        <v>392</v>
      </c>
      <c r="E15" s="104" t="s">
        <v>393</v>
      </c>
      <c r="F15" s="104"/>
      <c r="G15" s="105" t="s">
        <v>394</v>
      </c>
      <c r="H15" s="106">
        <v>0.74534500000000004</v>
      </c>
      <c r="I15" s="107">
        <v>15.04</v>
      </c>
      <c r="J15" s="107">
        <f>H15*I15</f>
        <v>11.2099888</v>
      </c>
    </row>
    <row r="18" spans="1:10" ht="27.6">
      <c r="A18" s="90" t="s">
        <v>397</v>
      </c>
      <c r="B18" s="91" t="s">
        <v>379</v>
      </c>
      <c r="C18" s="90" t="s">
        <v>380</v>
      </c>
      <c r="D18" s="90" t="s">
        <v>381</v>
      </c>
      <c r="E18" s="92" t="s">
        <v>382</v>
      </c>
      <c r="F18" s="92"/>
      <c r="G18" s="93" t="s">
        <v>383</v>
      </c>
      <c r="H18" s="91" t="s">
        <v>384</v>
      </c>
      <c r="I18" s="91" t="s">
        <v>385</v>
      </c>
      <c r="J18" s="91" t="s">
        <v>386</v>
      </c>
    </row>
    <row r="19" spans="1:10" ht="23.4" customHeight="1">
      <c r="A19" s="108" t="s">
        <v>43</v>
      </c>
      <c r="B19" s="109"/>
      <c r="C19" s="110"/>
      <c r="D19" s="108" t="s">
        <v>108</v>
      </c>
      <c r="E19" s="111" t="s">
        <v>398</v>
      </c>
      <c r="F19" s="111"/>
      <c r="G19" s="112" t="s">
        <v>388</v>
      </c>
      <c r="H19" s="113">
        <v>1</v>
      </c>
      <c r="I19" s="114">
        <f>J20</f>
        <v>11.998911999999999</v>
      </c>
      <c r="J19" s="114">
        <f>I19*H19</f>
        <v>11.998911999999999</v>
      </c>
    </row>
    <row r="20" spans="1:10" ht="29.4" customHeight="1">
      <c r="A20" s="102" t="s">
        <v>389</v>
      </c>
      <c r="B20" s="103" t="s">
        <v>390</v>
      </c>
      <c r="C20" s="102" t="s">
        <v>391</v>
      </c>
      <c r="D20" s="102" t="s">
        <v>392</v>
      </c>
      <c r="E20" s="104" t="s">
        <v>393</v>
      </c>
      <c r="F20" s="104"/>
      <c r="G20" s="105" t="s">
        <v>394</v>
      </c>
      <c r="H20" s="106">
        <v>0.79779999999999995</v>
      </c>
      <c r="I20" s="107">
        <v>15.04</v>
      </c>
      <c r="J20" s="107">
        <f>H20*I20</f>
        <v>11.998911999999999</v>
      </c>
    </row>
    <row r="22" spans="1:10" ht="27.6">
      <c r="A22" s="115" t="s">
        <v>399</v>
      </c>
      <c r="B22" s="116" t="s">
        <v>379</v>
      </c>
      <c r="C22" s="115" t="s">
        <v>380</v>
      </c>
      <c r="D22" s="115" t="s">
        <v>381</v>
      </c>
      <c r="E22" s="117" t="s">
        <v>382</v>
      </c>
      <c r="F22" s="117"/>
      <c r="G22" s="118" t="s">
        <v>383</v>
      </c>
      <c r="H22" s="116" t="s">
        <v>384</v>
      </c>
      <c r="I22" s="116" t="s">
        <v>385</v>
      </c>
      <c r="J22" s="116" t="s">
        <v>386</v>
      </c>
    </row>
    <row r="23" spans="1:10" ht="38.4" customHeight="1">
      <c r="A23" s="119" t="s">
        <v>43</v>
      </c>
      <c r="B23" s="120"/>
      <c r="C23" s="121"/>
      <c r="D23" s="119" t="s">
        <v>278</v>
      </c>
      <c r="E23" s="122" t="s">
        <v>400</v>
      </c>
      <c r="F23" s="122"/>
      <c r="G23" s="123" t="s">
        <v>388</v>
      </c>
      <c r="H23" s="124">
        <v>1</v>
      </c>
      <c r="I23" s="125">
        <f>SUM(J24:J26)</f>
        <v>4.1553599999999999</v>
      </c>
      <c r="J23" s="125">
        <f>I23*H23</f>
        <v>4.1553599999999999</v>
      </c>
    </row>
    <row r="24" spans="1:10" ht="22.8" customHeight="1">
      <c r="A24" s="126" t="s">
        <v>401</v>
      </c>
      <c r="B24" s="127" t="s">
        <v>402</v>
      </c>
      <c r="C24" s="126" t="s">
        <v>403</v>
      </c>
      <c r="D24" s="126" t="s">
        <v>404</v>
      </c>
      <c r="E24" s="128" t="s">
        <v>405</v>
      </c>
      <c r="F24" s="128"/>
      <c r="G24" s="129" t="s">
        <v>406</v>
      </c>
      <c r="H24" s="130">
        <v>1</v>
      </c>
      <c r="I24" s="131">
        <v>1.1499999999999999</v>
      </c>
      <c r="J24" s="107">
        <f>H24*I24</f>
        <v>1.1499999999999999</v>
      </c>
    </row>
    <row r="25" spans="1:10" ht="24.6" customHeight="1">
      <c r="A25" s="126" t="s">
        <v>401</v>
      </c>
      <c r="B25" s="127" t="s">
        <v>407</v>
      </c>
      <c r="C25" s="126" t="s">
        <v>391</v>
      </c>
      <c r="D25" s="126" t="s">
        <v>408</v>
      </c>
      <c r="E25" s="128" t="s">
        <v>409</v>
      </c>
      <c r="F25" s="128"/>
      <c r="G25" s="129" t="s">
        <v>394</v>
      </c>
      <c r="H25" s="130">
        <v>7.6999999999999999E-2</v>
      </c>
      <c r="I25" s="131">
        <v>16.18</v>
      </c>
      <c r="J25" s="132">
        <f>H25*I25</f>
        <v>1.24586</v>
      </c>
    </row>
    <row r="26" spans="1:10" ht="19.2" customHeight="1">
      <c r="A26" s="126" t="s">
        <v>401</v>
      </c>
      <c r="B26" s="127" t="s">
        <v>410</v>
      </c>
      <c r="C26" s="126" t="s">
        <v>391</v>
      </c>
      <c r="D26" s="126" t="s">
        <v>411</v>
      </c>
      <c r="E26" s="128" t="s">
        <v>409</v>
      </c>
      <c r="F26" s="128"/>
      <c r="G26" s="129" t="s">
        <v>394</v>
      </c>
      <c r="H26" s="130">
        <v>0.15</v>
      </c>
      <c r="I26" s="131">
        <v>11.73</v>
      </c>
      <c r="J26" s="132">
        <f>H26*I26</f>
        <v>1.7595000000000001</v>
      </c>
    </row>
    <row r="27" spans="1:10">
      <c r="A27" s="133"/>
      <c r="B27" s="134"/>
      <c r="C27" s="133"/>
      <c r="D27" s="133"/>
      <c r="E27" s="133"/>
      <c r="F27" s="133"/>
      <c r="G27" s="135"/>
      <c r="H27" s="136"/>
      <c r="I27" s="137"/>
      <c r="J27" s="138"/>
    </row>
    <row r="28" spans="1:10" ht="27.6">
      <c r="A28" s="139" t="s">
        <v>412</v>
      </c>
      <c r="B28" s="140" t="s">
        <v>379</v>
      </c>
      <c r="C28" s="139" t="s">
        <v>380</v>
      </c>
      <c r="D28" s="139" t="s">
        <v>381</v>
      </c>
      <c r="E28" s="141" t="s">
        <v>382</v>
      </c>
      <c r="F28" s="141"/>
      <c r="G28" s="142" t="s">
        <v>383</v>
      </c>
      <c r="H28" s="140" t="s">
        <v>384</v>
      </c>
      <c r="I28" s="140" t="s">
        <v>385</v>
      </c>
      <c r="J28" s="140" t="s">
        <v>386</v>
      </c>
    </row>
    <row r="29" spans="1:10" ht="31.2" customHeight="1">
      <c r="A29" s="143" t="s">
        <v>43</v>
      </c>
      <c r="B29" s="144" t="s">
        <v>413</v>
      </c>
      <c r="C29" s="145" t="s">
        <v>391</v>
      </c>
      <c r="D29" s="146" t="s">
        <v>414</v>
      </c>
      <c r="E29" s="147" t="s">
        <v>400</v>
      </c>
      <c r="F29" s="147"/>
      <c r="G29" s="148" t="s">
        <v>388</v>
      </c>
      <c r="H29" s="149">
        <v>1</v>
      </c>
      <c r="I29" s="150">
        <f>J30+J31</f>
        <v>4.1189159999999996</v>
      </c>
      <c r="J29" s="150">
        <f>I29*H29</f>
        <v>4.1189159999999996</v>
      </c>
    </row>
    <row r="30" spans="1:10" ht="32.4" customHeight="1">
      <c r="A30" s="102" t="s">
        <v>389</v>
      </c>
      <c r="B30" s="103">
        <v>88323</v>
      </c>
      <c r="C30" s="102" t="s">
        <v>391</v>
      </c>
      <c r="D30" s="102" t="s">
        <v>415</v>
      </c>
      <c r="E30" s="104" t="s">
        <v>393</v>
      </c>
      <c r="F30" s="104"/>
      <c r="G30" s="105" t="s">
        <v>394</v>
      </c>
      <c r="H30" s="151">
        <v>4.2900000000000001E-2</v>
      </c>
      <c r="I30" s="107">
        <v>22.6</v>
      </c>
      <c r="J30" s="107">
        <f>H30*I30</f>
        <v>0.96954000000000007</v>
      </c>
    </row>
    <row r="31" spans="1:10" ht="27.6" customHeight="1">
      <c r="A31" s="102" t="s">
        <v>389</v>
      </c>
      <c r="B31" s="103" t="s">
        <v>390</v>
      </c>
      <c r="C31" s="102" t="s">
        <v>391</v>
      </c>
      <c r="D31" s="102" t="s">
        <v>392</v>
      </c>
      <c r="E31" s="104" t="s">
        <v>393</v>
      </c>
      <c r="F31" s="104"/>
      <c r="G31" s="105" t="s">
        <v>394</v>
      </c>
      <c r="H31" s="106">
        <v>0.2094</v>
      </c>
      <c r="I31" s="107">
        <v>15.04</v>
      </c>
      <c r="J31" s="107">
        <f>H31*I31</f>
        <v>3.1493759999999997</v>
      </c>
    </row>
    <row r="32" spans="1:10">
      <c r="A32" s="152"/>
      <c r="B32" s="152"/>
      <c r="C32" s="152"/>
      <c r="D32" s="152"/>
      <c r="E32" s="152"/>
      <c r="F32" s="152"/>
      <c r="G32" s="152"/>
      <c r="H32" s="152"/>
      <c r="I32" s="152"/>
      <c r="J32" s="152"/>
    </row>
    <row r="33" spans="1:10" ht="27.6">
      <c r="A33" s="153" t="s">
        <v>416</v>
      </c>
      <c r="B33" s="154" t="s">
        <v>379</v>
      </c>
      <c r="C33" s="153" t="s">
        <v>380</v>
      </c>
      <c r="D33" s="153" t="s">
        <v>381</v>
      </c>
      <c r="E33" s="155" t="s">
        <v>382</v>
      </c>
      <c r="F33" s="155"/>
      <c r="G33" s="156" t="s">
        <v>383</v>
      </c>
      <c r="H33" s="154" t="s">
        <v>384</v>
      </c>
      <c r="I33" s="154" t="s">
        <v>385</v>
      </c>
      <c r="J33" s="154" t="s">
        <v>386</v>
      </c>
    </row>
    <row r="34" spans="1:10" ht="32.4" customHeight="1">
      <c r="A34" s="157" t="s">
        <v>43</v>
      </c>
      <c r="B34" s="158"/>
      <c r="C34" s="158"/>
      <c r="D34" s="157" t="s">
        <v>356</v>
      </c>
      <c r="E34" s="159" t="s">
        <v>400</v>
      </c>
      <c r="F34" s="159"/>
      <c r="G34" s="158" t="s">
        <v>388</v>
      </c>
      <c r="H34" s="160">
        <v>1</v>
      </c>
      <c r="I34" s="161">
        <f>J35+J36</f>
        <v>4.9104840000000003</v>
      </c>
      <c r="J34" s="161">
        <f>I34*H34</f>
        <v>4.9104840000000003</v>
      </c>
    </row>
    <row r="35" spans="1:10" ht="25.8" customHeight="1">
      <c r="A35" s="162" t="s">
        <v>389</v>
      </c>
      <c r="B35" s="162" t="s">
        <v>417</v>
      </c>
      <c r="C35" s="162" t="s">
        <v>391</v>
      </c>
      <c r="D35" s="162" t="s">
        <v>415</v>
      </c>
      <c r="E35" s="163" t="s">
        <v>393</v>
      </c>
      <c r="F35" s="163"/>
      <c r="G35" s="162" t="s">
        <v>394</v>
      </c>
      <c r="H35" s="164">
        <v>9.2100000000000001E-2</v>
      </c>
      <c r="I35" s="165">
        <v>22.6</v>
      </c>
      <c r="J35" s="165">
        <f>H35*I35</f>
        <v>2.0814600000000003</v>
      </c>
    </row>
    <row r="36" spans="1:10" ht="30.6" customHeight="1">
      <c r="A36" s="162" t="s">
        <v>389</v>
      </c>
      <c r="B36" s="162" t="s">
        <v>390</v>
      </c>
      <c r="C36" s="162" t="s">
        <v>391</v>
      </c>
      <c r="D36" s="162" t="s">
        <v>392</v>
      </c>
      <c r="E36" s="163" t="s">
        <v>393</v>
      </c>
      <c r="F36" s="163"/>
      <c r="G36" s="162" t="s">
        <v>394</v>
      </c>
      <c r="H36" s="166">
        <v>0.18809999999999999</v>
      </c>
      <c r="I36" s="165">
        <v>15.04</v>
      </c>
      <c r="J36" s="165">
        <f>H36*I36</f>
        <v>2.8290239999999995</v>
      </c>
    </row>
    <row r="38" spans="1:10" ht="27.6">
      <c r="A38" s="167" t="s">
        <v>418</v>
      </c>
      <c r="B38" s="168" t="s">
        <v>379</v>
      </c>
      <c r="C38" s="167" t="s">
        <v>380</v>
      </c>
      <c r="D38" s="167" t="s">
        <v>381</v>
      </c>
      <c r="E38" s="169" t="s">
        <v>382</v>
      </c>
      <c r="F38" s="169"/>
      <c r="G38" s="170" t="s">
        <v>383</v>
      </c>
      <c r="H38" s="168" t="s">
        <v>384</v>
      </c>
      <c r="I38" s="168" t="s">
        <v>385</v>
      </c>
      <c r="J38" s="168" t="s">
        <v>386</v>
      </c>
    </row>
    <row r="39" spans="1:10" ht="42.6" customHeight="1">
      <c r="A39" s="108" t="s">
        <v>43</v>
      </c>
      <c r="B39" s="109"/>
      <c r="C39" s="110"/>
      <c r="D39" s="108" t="s">
        <v>358</v>
      </c>
      <c r="E39" s="111" t="s">
        <v>400</v>
      </c>
      <c r="F39" s="111"/>
      <c r="G39" s="112" t="s">
        <v>388</v>
      </c>
      <c r="H39" s="113">
        <v>1</v>
      </c>
      <c r="I39" s="114">
        <f>SUM(J40:J44)</f>
        <v>23.510419177999999</v>
      </c>
      <c r="J39" s="114">
        <f>H39*I39</f>
        <v>23.510419177999999</v>
      </c>
    </row>
    <row r="40" spans="1:10" ht="55.2" customHeight="1">
      <c r="A40" s="171" t="s">
        <v>389</v>
      </c>
      <c r="B40" s="172" t="s">
        <v>419</v>
      </c>
      <c r="C40" s="171" t="s">
        <v>391</v>
      </c>
      <c r="D40" s="171" t="s">
        <v>420</v>
      </c>
      <c r="E40" s="173" t="s">
        <v>421</v>
      </c>
      <c r="F40" s="173"/>
      <c r="G40" s="174" t="s">
        <v>422</v>
      </c>
      <c r="H40" s="175">
        <v>1.6199999999999999E-2</v>
      </c>
      <c r="I40" s="176">
        <v>17.41</v>
      </c>
      <c r="J40" s="132">
        <f>H40*I40</f>
        <v>0.28204199999999996</v>
      </c>
    </row>
    <row r="41" spans="1:10" ht="52.2" customHeight="1">
      <c r="A41" s="171" t="s">
        <v>389</v>
      </c>
      <c r="B41" s="172" t="s">
        <v>423</v>
      </c>
      <c r="C41" s="171" t="s">
        <v>391</v>
      </c>
      <c r="D41" s="171" t="s">
        <v>424</v>
      </c>
      <c r="E41" s="173" t="s">
        <v>421</v>
      </c>
      <c r="F41" s="173"/>
      <c r="G41" s="174" t="s">
        <v>425</v>
      </c>
      <c r="H41" s="175">
        <v>2.7579300000000001E-2</v>
      </c>
      <c r="I41" s="176">
        <v>16.54</v>
      </c>
      <c r="J41" s="132">
        <f t="shared" ref="J41:J44" si="0">H41*I41</f>
        <v>0.45616162199999999</v>
      </c>
    </row>
    <row r="42" spans="1:10" ht="38.4" customHeight="1">
      <c r="A42" s="171" t="s">
        <v>389</v>
      </c>
      <c r="B42" s="172" t="s">
        <v>417</v>
      </c>
      <c r="C42" s="171" t="s">
        <v>391</v>
      </c>
      <c r="D42" s="171" t="s">
        <v>415</v>
      </c>
      <c r="E42" s="173" t="s">
        <v>393</v>
      </c>
      <c r="F42" s="173"/>
      <c r="G42" s="174" t="s">
        <v>394</v>
      </c>
      <c r="H42" s="175">
        <v>0.1000505</v>
      </c>
      <c r="I42" s="176">
        <v>22.6</v>
      </c>
      <c r="J42" s="132">
        <f t="shared" si="0"/>
        <v>2.2611413000000002</v>
      </c>
    </row>
    <row r="43" spans="1:10" ht="39.6" customHeight="1">
      <c r="A43" s="171" t="s">
        <v>389</v>
      </c>
      <c r="B43" s="172" t="s">
        <v>390</v>
      </c>
      <c r="C43" s="171" t="s">
        <v>391</v>
      </c>
      <c r="D43" s="171" t="s">
        <v>392</v>
      </c>
      <c r="E43" s="173" t="s">
        <v>393</v>
      </c>
      <c r="F43" s="173"/>
      <c r="G43" s="174" t="s">
        <v>394</v>
      </c>
      <c r="H43" s="175">
        <v>0.28201890000000002</v>
      </c>
      <c r="I43" s="176">
        <v>15.04</v>
      </c>
      <c r="J43" s="132">
        <f t="shared" si="0"/>
        <v>4.2415642560000002</v>
      </c>
    </row>
    <row r="44" spans="1:10" ht="47.4" customHeight="1">
      <c r="A44" s="177" t="s">
        <v>401</v>
      </c>
      <c r="B44" s="178" t="s">
        <v>426</v>
      </c>
      <c r="C44" s="177" t="s">
        <v>391</v>
      </c>
      <c r="D44" s="177" t="s">
        <v>427</v>
      </c>
      <c r="E44" s="179" t="s">
        <v>405</v>
      </c>
      <c r="F44" s="179"/>
      <c r="G44" s="180" t="s">
        <v>428</v>
      </c>
      <c r="H44" s="181">
        <v>1.4858E-2</v>
      </c>
      <c r="I44" s="182">
        <v>1095</v>
      </c>
      <c r="J44" s="132">
        <f t="shared" si="0"/>
        <v>16.26951</v>
      </c>
    </row>
    <row r="46" spans="1:10" ht="27.6">
      <c r="A46" s="183" t="s">
        <v>429</v>
      </c>
      <c r="B46" s="184" t="s">
        <v>379</v>
      </c>
      <c r="C46" s="183" t="s">
        <v>380</v>
      </c>
      <c r="D46" s="183" t="s">
        <v>381</v>
      </c>
      <c r="E46" s="185" t="s">
        <v>382</v>
      </c>
      <c r="F46" s="185"/>
      <c r="G46" s="186" t="s">
        <v>383</v>
      </c>
      <c r="H46" s="184" t="s">
        <v>384</v>
      </c>
      <c r="I46" s="184" t="s">
        <v>385</v>
      </c>
      <c r="J46" s="184" t="s">
        <v>386</v>
      </c>
    </row>
    <row r="47" spans="1:10" ht="36" customHeight="1">
      <c r="A47" s="119" t="s">
        <v>43</v>
      </c>
      <c r="B47" s="120"/>
      <c r="C47" s="121"/>
      <c r="D47" s="119" t="s">
        <v>374</v>
      </c>
      <c r="E47" s="122" t="s">
        <v>400</v>
      </c>
      <c r="F47" s="122"/>
      <c r="G47" s="123" t="s">
        <v>388</v>
      </c>
      <c r="H47" s="124">
        <v>1</v>
      </c>
      <c r="I47" s="125">
        <f>SUM(J48:J51)</f>
        <v>1.810119</v>
      </c>
      <c r="J47" s="125">
        <f>I47*H47</f>
        <v>1.810119</v>
      </c>
    </row>
    <row r="48" spans="1:10" ht="39" customHeight="1">
      <c r="A48" s="126" t="s">
        <v>401</v>
      </c>
      <c r="B48" s="127" t="s">
        <v>430</v>
      </c>
      <c r="C48" s="126" t="s">
        <v>403</v>
      </c>
      <c r="D48" s="126" t="s">
        <v>431</v>
      </c>
      <c r="E48" s="128" t="s">
        <v>409</v>
      </c>
      <c r="F48" s="128"/>
      <c r="G48" s="129" t="s">
        <v>432</v>
      </c>
      <c r="H48" s="130">
        <v>4.0000000000000001E-3</v>
      </c>
      <c r="I48" s="131">
        <v>37.56</v>
      </c>
      <c r="J48" s="187">
        <f>H48*I48</f>
        <v>0.15024000000000001</v>
      </c>
    </row>
    <row r="49" spans="1:10" ht="22.2" customHeight="1">
      <c r="A49" s="126" t="s">
        <v>401</v>
      </c>
      <c r="B49" s="127" t="s">
        <v>433</v>
      </c>
      <c r="C49" s="126" t="s">
        <v>391</v>
      </c>
      <c r="D49" s="126" t="s">
        <v>434</v>
      </c>
      <c r="E49" s="128" t="s">
        <v>409</v>
      </c>
      <c r="F49" s="128"/>
      <c r="G49" s="129" t="s">
        <v>394</v>
      </c>
      <c r="H49" s="130">
        <v>7.6E-3</v>
      </c>
      <c r="I49" s="131">
        <v>15.22</v>
      </c>
      <c r="J49" s="187">
        <f>H49*I49</f>
        <v>0.11567200000000001</v>
      </c>
    </row>
    <row r="50" spans="1:10" ht="27.6" customHeight="1">
      <c r="A50" s="126" t="s">
        <v>401</v>
      </c>
      <c r="B50" s="127" t="s">
        <v>435</v>
      </c>
      <c r="C50" s="126" t="s">
        <v>391</v>
      </c>
      <c r="D50" s="126" t="s">
        <v>436</v>
      </c>
      <c r="E50" s="128" t="s">
        <v>409</v>
      </c>
      <c r="F50" s="128"/>
      <c r="G50" s="129" t="s">
        <v>394</v>
      </c>
      <c r="H50" s="130">
        <v>7.7000000000000002E-3</v>
      </c>
      <c r="I50" s="131">
        <v>141.91</v>
      </c>
      <c r="J50" s="187">
        <f>H50*I50</f>
        <v>1.0927070000000001</v>
      </c>
    </row>
    <row r="51" spans="1:10" ht="26.4">
      <c r="A51" s="126" t="s">
        <v>401</v>
      </c>
      <c r="B51" s="127" t="s">
        <v>437</v>
      </c>
      <c r="C51" s="126" t="s">
        <v>391</v>
      </c>
      <c r="D51" s="126" t="s">
        <v>438</v>
      </c>
      <c r="E51" s="128" t="s">
        <v>405</v>
      </c>
      <c r="F51" s="128"/>
      <c r="G51" s="129" t="s">
        <v>439</v>
      </c>
      <c r="H51" s="130">
        <v>7.0000000000000007E-2</v>
      </c>
      <c r="I51" s="131">
        <v>6.45</v>
      </c>
      <c r="J51" s="187">
        <f>H51*I51</f>
        <v>0.45150000000000007</v>
      </c>
    </row>
  </sheetData>
  <mergeCells count="39">
    <mergeCell ref="E49:F49"/>
    <mergeCell ref="E50:F50"/>
    <mergeCell ref="E51:F51"/>
    <mergeCell ref="E42:F42"/>
    <mergeCell ref="E43:F43"/>
    <mergeCell ref="E44:F44"/>
    <mergeCell ref="E46:F46"/>
    <mergeCell ref="E47:F47"/>
    <mergeCell ref="E48:F48"/>
    <mergeCell ref="E35:F35"/>
    <mergeCell ref="E36:F36"/>
    <mergeCell ref="E38:F38"/>
    <mergeCell ref="E39:F39"/>
    <mergeCell ref="E40:F40"/>
    <mergeCell ref="E41:F41"/>
    <mergeCell ref="E28:F28"/>
    <mergeCell ref="E29:F29"/>
    <mergeCell ref="E30:F30"/>
    <mergeCell ref="E31:F31"/>
    <mergeCell ref="E33:F33"/>
    <mergeCell ref="E34:F34"/>
    <mergeCell ref="E20:F20"/>
    <mergeCell ref="E22:F22"/>
    <mergeCell ref="E23:F23"/>
    <mergeCell ref="E24:F24"/>
    <mergeCell ref="E25:F25"/>
    <mergeCell ref="E26:F26"/>
    <mergeCell ref="E11:F11"/>
    <mergeCell ref="E13:F13"/>
    <mergeCell ref="E14:F14"/>
    <mergeCell ref="E15:F15"/>
    <mergeCell ref="E18:F18"/>
    <mergeCell ref="E19:F19"/>
    <mergeCell ref="A1:J1"/>
    <mergeCell ref="E5:F5"/>
    <mergeCell ref="E6:F6"/>
    <mergeCell ref="E7:F7"/>
    <mergeCell ref="E9:F9"/>
    <mergeCell ref="E10:F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MANUT__LOTE_04</vt:lpstr>
      <vt:lpstr>Planilha1</vt:lpstr>
      <vt:lpstr>MANUT__LOTE_04!Area_de_impressao</vt:lpstr>
      <vt:lpstr>MANUT__LOTE_04!Excel_BuiltIn__FilterDatabase</vt:lpstr>
      <vt:lpstr>MANUT__LOTE_04!Excel_BuiltIn_Print_Area</vt:lpstr>
      <vt:lpstr>MANUT__LOTE_04!Print_Area_0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César Rafael Pimentel Esser</dc:creator>
  <dc:description/>
  <cp:lastModifiedBy>MARIO</cp:lastModifiedBy>
  <cp:revision>6</cp:revision>
  <cp:lastPrinted>2022-02-21T13:17:28Z</cp:lastPrinted>
  <dcterms:created xsi:type="dcterms:W3CDTF">2016-06-27T12:42:06Z</dcterms:created>
  <dcterms:modified xsi:type="dcterms:W3CDTF">2022-06-24T02:11:59Z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